
<file path=[Content_Types].xml><?xml version="1.0" encoding="utf-8"?>
<Types xmlns="http://schemas.openxmlformats.org/package/2006/content-types">
  <Default Extension="xml" ContentType="application/xml"/>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819"/>
  <workbookPr showInkAnnotation="0" codeName="ThisWorkbook" autoCompressPictures="0"/>
  <bookViews>
    <workbookView xWindow="0" yWindow="0" windowWidth="33520" windowHeight="21000" tabRatio="933"/>
  </bookViews>
  <sheets>
    <sheet name="Introduction" sheetId="14" r:id="rId1"/>
    <sheet name="Instructions" sheetId="11" r:id="rId2"/>
    <sheet name="Inputs" sheetId="1" r:id="rId3"/>
    <sheet name="Case Selection" sheetId="12" r:id="rId4"/>
    <sheet name="Case 1 OR 3a" sheetId="4" r:id="rId5"/>
    <sheet name="Case 2a OR 3b" sheetId="5" r:id="rId6"/>
    <sheet name="Case 2b OR 3c" sheetId="8" r:id="rId7"/>
    <sheet name="Case 4" sheetId="6" r:id="rId8"/>
    <sheet name="Case 5" sheetId="7" r:id="rId9"/>
    <sheet name="ISNA-Schedule" sheetId="13" r:id="rId10"/>
  </sheets>
  <definedNames>
    <definedName name="_ftn1" localSheetId="9">'ISNA-Schedule'!$A$160</definedName>
    <definedName name="_ftn2" localSheetId="9">'ISNA-Schedule'!$A$161</definedName>
    <definedName name="_ftn3" localSheetId="9">'ISNA-Schedule'!$A$162</definedName>
    <definedName name="_ftnref1" localSheetId="9">'ISNA-Schedule'!$B$33</definedName>
    <definedName name="_ftnref2" localSheetId="9">'ISNA-Schedule'!$B$135</definedName>
    <definedName name="_ftnref3" localSheetId="9">'ISNA-Schedule'!$A$153</definedName>
    <definedName name="_xlnm.Print_Area" localSheetId="1">Instructions!$B$1:$B$14</definedName>
    <definedName name="_xlnm.Print_Area" localSheetId="9">'ISNA-Schedule'!$A$2:$B$161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9" i="8" l="1"/>
  <c r="F9" i="8"/>
  <c r="B41" i="6"/>
  <c r="G40" i="6"/>
  <c r="G6" i="1"/>
  <c r="G7" i="1"/>
  <c r="F20" i="1"/>
  <c r="G23" i="1"/>
  <c r="A1" i="6"/>
  <c r="E38" i="6"/>
  <c r="F39" i="6"/>
  <c r="H41" i="6"/>
  <c r="B42" i="6"/>
  <c r="B32" i="6"/>
  <c r="K34" i="6"/>
  <c r="C15" i="1"/>
  <c r="C33" i="1"/>
  <c r="G4" i="1"/>
  <c r="C24" i="1"/>
  <c r="A1" i="4"/>
  <c r="I9" i="4"/>
  <c r="E23" i="4"/>
  <c r="H8" i="4"/>
  <c r="E22" i="4"/>
  <c r="G7" i="4"/>
  <c r="D21" i="4"/>
  <c r="B10" i="4"/>
  <c r="J10" i="4"/>
  <c r="B11" i="4"/>
  <c r="K11" i="4"/>
  <c r="B12" i="4"/>
  <c r="L12" i="4"/>
  <c r="B13" i="4"/>
  <c r="M13" i="4"/>
  <c r="B14" i="4"/>
  <c r="N14" i="4"/>
  <c r="F6" i="4"/>
  <c r="E20" i="4"/>
  <c r="D20" i="4"/>
  <c r="E5" i="4"/>
  <c r="D19" i="4"/>
  <c r="H3" i="1"/>
  <c r="G8" i="1"/>
  <c r="G20" i="1"/>
  <c r="D17" i="4"/>
  <c r="A1" i="5"/>
  <c r="B7" i="5"/>
  <c r="B9" i="5"/>
  <c r="F9" i="5"/>
  <c r="B10" i="5"/>
  <c r="G10" i="5"/>
  <c r="H11" i="5"/>
  <c r="I11" i="5"/>
  <c r="B12" i="5"/>
  <c r="J12" i="5"/>
  <c r="B13" i="5"/>
  <c r="K13" i="5"/>
  <c r="B14" i="5"/>
  <c r="L14" i="5"/>
  <c r="B15" i="5"/>
  <c r="M21" i="5"/>
  <c r="M15" i="5"/>
  <c r="B16" i="5"/>
  <c r="N21" i="5"/>
  <c r="N16" i="5"/>
  <c r="B17" i="5"/>
  <c r="O21" i="5"/>
  <c r="O17" i="5"/>
  <c r="B18" i="5"/>
  <c r="P21" i="5"/>
  <c r="P18" i="5"/>
  <c r="B19" i="5"/>
  <c r="Q21" i="5"/>
  <c r="Q19" i="5"/>
  <c r="E8" i="5"/>
  <c r="R9" i="5"/>
  <c r="B24" i="5"/>
  <c r="G27" i="5"/>
  <c r="H28" i="5"/>
  <c r="B29" i="5"/>
  <c r="I29" i="5"/>
  <c r="E25" i="5"/>
  <c r="F26" i="5"/>
  <c r="J30" i="5"/>
  <c r="K30" i="5"/>
  <c r="B31" i="5"/>
  <c r="L31" i="5"/>
  <c r="B32" i="5"/>
  <c r="M32" i="5"/>
  <c r="B33" i="5"/>
  <c r="N33" i="5"/>
  <c r="B34" i="5"/>
  <c r="O34" i="5"/>
  <c r="P26" i="5"/>
  <c r="B28" i="5"/>
  <c r="P29" i="5"/>
  <c r="B37" i="5"/>
  <c r="E38" i="5"/>
  <c r="F39" i="5"/>
  <c r="G40" i="5"/>
  <c r="H41" i="5"/>
  <c r="B42" i="5"/>
  <c r="I42" i="5"/>
  <c r="J43" i="5"/>
  <c r="A1" i="8"/>
  <c r="B7" i="8"/>
  <c r="B10" i="8"/>
  <c r="G10" i="8"/>
  <c r="H11" i="8"/>
  <c r="I11" i="8"/>
  <c r="B12" i="8"/>
  <c r="J12" i="8"/>
  <c r="B13" i="8"/>
  <c r="K13" i="8"/>
  <c r="B14" i="8"/>
  <c r="L14" i="8"/>
  <c r="B15" i="8"/>
  <c r="M21" i="8"/>
  <c r="M15" i="8"/>
  <c r="B16" i="8"/>
  <c r="N21" i="8"/>
  <c r="N16" i="8"/>
  <c r="B17" i="8"/>
  <c r="O21" i="8"/>
  <c r="O17" i="8"/>
  <c r="B18" i="8"/>
  <c r="P21" i="8"/>
  <c r="P18" i="8"/>
  <c r="B19" i="8"/>
  <c r="Q21" i="8"/>
  <c r="Q19" i="8"/>
  <c r="E8" i="8"/>
  <c r="R10" i="8"/>
  <c r="B24" i="8"/>
  <c r="E36" i="8"/>
  <c r="E37" i="8"/>
  <c r="E38" i="8"/>
  <c r="E39" i="8"/>
  <c r="E40" i="8"/>
  <c r="E41" i="8"/>
  <c r="E42" i="8"/>
  <c r="E43" i="8"/>
  <c r="E44" i="8"/>
  <c r="E45" i="8"/>
  <c r="E46" i="8"/>
  <c r="E47" i="8"/>
  <c r="E25" i="8"/>
  <c r="F36" i="8"/>
  <c r="F37" i="8"/>
  <c r="F38" i="8"/>
  <c r="F39" i="8"/>
  <c r="F40" i="8"/>
  <c r="F41" i="8"/>
  <c r="F42" i="8"/>
  <c r="F43" i="8"/>
  <c r="F44" i="8"/>
  <c r="F45" i="8"/>
  <c r="F46" i="8"/>
  <c r="F47" i="8"/>
  <c r="F26" i="8"/>
  <c r="P26" i="8"/>
  <c r="E27" i="8"/>
  <c r="G36" i="8"/>
  <c r="G37" i="8"/>
  <c r="G38" i="8"/>
  <c r="G39" i="8"/>
  <c r="G40" i="8"/>
  <c r="G41" i="8"/>
  <c r="G42" i="8"/>
  <c r="G43" i="8"/>
  <c r="G44" i="8"/>
  <c r="G45" i="8"/>
  <c r="G46" i="8"/>
  <c r="G47" i="8"/>
  <c r="G27" i="8"/>
  <c r="B28" i="8"/>
  <c r="H37" i="8"/>
  <c r="H38" i="8"/>
  <c r="H39" i="8"/>
  <c r="H40" i="8"/>
  <c r="H41" i="8"/>
  <c r="H42" i="8"/>
  <c r="H43" i="8"/>
  <c r="H44" i="8"/>
  <c r="H45" i="8"/>
  <c r="H46" i="8"/>
  <c r="H28" i="8"/>
  <c r="B29" i="8"/>
  <c r="I38" i="8"/>
  <c r="I39" i="8"/>
  <c r="I40" i="8"/>
  <c r="I41" i="8"/>
  <c r="I42" i="8"/>
  <c r="I43" i="8"/>
  <c r="I44" i="8"/>
  <c r="I45" i="8"/>
  <c r="I46" i="8"/>
  <c r="I29" i="8"/>
  <c r="J39" i="8"/>
  <c r="J40" i="8"/>
  <c r="J41" i="8"/>
  <c r="J42" i="8"/>
  <c r="J43" i="8"/>
  <c r="J44" i="8"/>
  <c r="J45" i="8"/>
  <c r="J46" i="8"/>
  <c r="J30" i="8"/>
  <c r="K39" i="8"/>
  <c r="K40" i="8"/>
  <c r="K41" i="8"/>
  <c r="K42" i="8"/>
  <c r="K43" i="8"/>
  <c r="K44" i="8"/>
  <c r="K45" i="8"/>
  <c r="K46" i="8"/>
  <c r="K30" i="8"/>
  <c r="B31" i="8"/>
  <c r="L41" i="8"/>
  <c r="L42" i="8"/>
  <c r="L43" i="8"/>
  <c r="L44" i="8"/>
  <c r="L45" i="8"/>
  <c r="L46" i="8"/>
  <c r="L31" i="8"/>
  <c r="B32" i="8"/>
  <c r="M43" i="8"/>
  <c r="M44" i="8"/>
  <c r="M45" i="8"/>
  <c r="M46" i="8"/>
  <c r="M32" i="8"/>
  <c r="B33" i="8"/>
  <c r="N45" i="8"/>
  <c r="N46" i="8"/>
  <c r="N33" i="8"/>
  <c r="B34" i="8"/>
  <c r="O45" i="8"/>
  <c r="O46" i="8"/>
  <c r="O34" i="8"/>
  <c r="C36" i="8"/>
  <c r="C37" i="8"/>
  <c r="C38" i="8"/>
  <c r="C39" i="8"/>
  <c r="C40" i="8"/>
  <c r="C41" i="8"/>
  <c r="C42" i="8"/>
  <c r="C43" i="8"/>
  <c r="C44" i="8"/>
  <c r="C45" i="8"/>
  <c r="C46" i="8"/>
  <c r="C47" i="8"/>
  <c r="B49" i="8"/>
  <c r="G52" i="8"/>
  <c r="H53" i="8"/>
  <c r="E50" i="8"/>
  <c r="F51" i="8"/>
  <c r="E52" i="8"/>
  <c r="B54" i="8"/>
  <c r="I54" i="8"/>
  <c r="J55" i="8"/>
  <c r="B9" i="6"/>
  <c r="F10" i="6"/>
  <c r="H14" i="6"/>
  <c r="E10" i="6"/>
  <c r="B11" i="6"/>
  <c r="B13" i="6"/>
  <c r="G13" i="6"/>
  <c r="E11" i="6"/>
  <c r="B12" i="6"/>
  <c r="B16" i="6"/>
  <c r="J16" i="6"/>
  <c r="F12" i="6"/>
  <c r="B15" i="6"/>
  <c r="I15" i="6"/>
  <c r="B19" i="6"/>
  <c r="H23" i="6"/>
  <c r="I24" i="6"/>
  <c r="E20" i="6"/>
  <c r="F21" i="6"/>
  <c r="B22" i="6"/>
  <c r="G22" i="6"/>
  <c r="B27" i="6"/>
  <c r="E28" i="6"/>
  <c r="F29" i="6"/>
  <c r="B30" i="6"/>
  <c r="G30" i="6"/>
  <c r="B31" i="6"/>
  <c r="H31" i="6"/>
  <c r="I32" i="6"/>
  <c r="B33" i="6"/>
  <c r="J33" i="6"/>
  <c r="B37" i="6"/>
  <c r="I42" i="6"/>
  <c r="A1" i="7"/>
  <c r="E4" i="7"/>
  <c r="F5" i="7"/>
  <c r="G6" i="7"/>
  <c r="B7" i="7"/>
  <c r="H7" i="7"/>
  <c r="B8" i="7"/>
  <c r="I8" i="7"/>
  <c r="B9" i="7"/>
  <c r="J9" i="7"/>
  <c r="B10" i="7"/>
  <c r="K10" i="7"/>
  <c r="M5" i="7"/>
</calcChain>
</file>

<file path=xl/sharedStrings.xml><?xml version="1.0" encoding="utf-8"?>
<sst xmlns="http://schemas.openxmlformats.org/spreadsheetml/2006/main" count="653" uniqueCount="397">
  <si>
    <r>
      <t xml:space="preserve">7a. Errors pop-up in </t>
    </r>
    <r>
      <rPr>
        <sz val="10"/>
        <color indexed="10"/>
        <rFont val="Arial"/>
      </rPr>
      <t>red-text</t>
    </r>
    <r>
      <rPr>
        <sz val="10"/>
        <rFont val="Arial"/>
      </rPr>
      <t>; if this happens, either fix your inputs OR note that this tool may not be applicable to your "unique" case.
7b. Errors may also appear within an output/calculation cell, for example: #VALUE!, FALSE, #DIV/0!, etc. - This usually occurs if you have entered something incorrect in the yellow-shaded input cell - only enter what is stated in the gray shaded instructions next to each cell.</t>
    </r>
  </si>
  <si>
    <t>Max. Amount Available for Disposition/Gifts</t>
  </si>
  <si>
    <t>Inheritance Amount Available After Disposition/Gifts</t>
  </si>
  <si>
    <t>Jewelry and Stocks, etc.</t>
  </si>
  <si>
    <t>Insurance</t>
  </si>
  <si>
    <r>
      <t>If you find any mistakes, please let me know at</t>
    </r>
    <r>
      <rPr>
        <sz val="10"/>
        <color indexed="12"/>
        <rFont val="Arial"/>
        <family val="2"/>
      </rPr>
      <t xml:space="preserve"> inheritance.calculator@gmail.com</t>
    </r>
    <r>
      <rPr>
        <sz val="10"/>
        <rFont val="Arial"/>
      </rPr>
      <t xml:space="preserve">; identifying mistakes in it is the only way to make it more useful for others.  Finally, please do not use the output of this tool without proper verification -- you can do so by 1) validating the output of this tool against the ISNA Schedule, </t>
    </r>
    <r>
      <rPr>
        <b/>
        <i/>
        <sz val="10"/>
        <rFont val="Arial"/>
        <family val="2"/>
      </rPr>
      <t>and</t>
    </r>
    <r>
      <rPr>
        <sz val="10"/>
        <rFont val="Arial"/>
      </rPr>
      <t xml:space="preserve"> 2) reaching out to religious scholars who follow the Quran and the Sunnah of the Prophet (PBUH).</t>
    </r>
  </si>
  <si>
    <r>
      <t>I found an islamic inheritance distribution tool online at:</t>
    </r>
    <r>
      <rPr>
        <u/>
        <sz val="10"/>
        <color indexed="12"/>
        <rFont val="Arial"/>
      </rPr>
      <t xml:space="preserve"> http://www.islamicsoftware.org/irth.html</t>
    </r>
    <r>
      <rPr>
        <sz val="10"/>
        <rFont val="Arial"/>
      </rPr>
      <t>, feel free to check this out as well.</t>
    </r>
  </si>
  <si>
    <t>Gift 2</t>
  </si>
  <si>
    <t>Gift 3</t>
  </si>
  <si>
    <t>Gift 4</t>
  </si>
  <si>
    <t>Gift 1</t>
  </si>
  <si>
    <t>Gift 5</t>
  </si>
  <si>
    <t>Gift 6</t>
  </si>
  <si>
    <t>12. For cases where one or more fetus or fetuses (unborn child or children) is/are involved, the distribution of inheritance could be delayed until birth OR the largest possible share of the fetus(es) must be set aside and distributed later.  The disposition amount of up to 1/3 for charities, etc. can still be distributed prior to distributing inheritance payments. Again, check with a religious scholar for correct treatment in this matter.</t>
  </si>
  <si>
    <t>(NOTE: This schedule contains more cases than the rest of the schedules, as such it may have a case that satisfies your situation. However, this schedule was not used in developing this tool).</t>
  </si>
  <si>
    <t>TABLE 1: Only one daughter</t>
  </si>
  <si>
    <t>TABLE 1: &gt; 1 daughter</t>
  </si>
  <si>
    <r>
      <t xml:space="preserve">Enter relationship to surviving spouse, </t>
    </r>
    <r>
      <rPr>
        <sz val="10"/>
        <color indexed="48"/>
        <rFont val="Arial"/>
        <family val="2"/>
      </rPr>
      <t>if no surviving spouse, then leave blank</t>
    </r>
    <r>
      <rPr>
        <sz val="10"/>
        <rFont val="Arial"/>
      </rPr>
      <t>?</t>
    </r>
  </si>
  <si>
    <t>8. This tool does use any particular currency denomination, as such, you should mention (in step 1) the currency you are using in the analysis.</t>
  </si>
  <si>
    <r>
      <t xml:space="preserve">NOTES: 
1. If your case is </t>
    </r>
    <r>
      <rPr>
        <b/>
        <sz val="10"/>
        <rFont val="Arial"/>
        <family val="2"/>
      </rPr>
      <t>[Case 1: One Son or More AND Any # Daughters]</t>
    </r>
    <r>
      <rPr>
        <sz val="10"/>
        <rFont val="Arial"/>
      </rPr>
      <t xml:space="preserve">, then continue with the table as is.
2. If your case is </t>
    </r>
    <r>
      <rPr>
        <b/>
        <sz val="10"/>
        <rFont val="Arial"/>
        <family val="2"/>
      </rPr>
      <t>[Case 3a: One or More Grandson(s) AND Any # of Granddaughters],</t>
    </r>
    <r>
      <rPr>
        <sz val="10"/>
        <rFont val="Arial"/>
      </rPr>
      <t xml:space="preserve"> then substitute daughter(s) of son(s) for daughter(s) AND son(s) of son(s) for son(s).</t>
    </r>
  </si>
  <si>
    <t>Case 4: Parents, NO Offspring</t>
  </si>
  <si>
    <t>CASE No. 4: PARENT(S) AND NO OFFSPRING</t>
  </si>
  <si>
    <t>Case 2a or 3b: Daughter, No Son(s)</t>
  </si>
  <si>
    <t>Cars</t>
  </si>
  <si>
    <t>Home</t>
  </si>
  <si>
    <t>Other (please enter your own)</t>
  </si>
  <si>
    <t>Vendors</t>
  </si>
  <si>
    <t>Credit Cards</t>
  </si>
  <si>
    <t>Institution (please enter name)</t>
  </si>
  <si>
    <t>Other (please enter name)</t>
  </si>
  <si>
    <t>Home &amp; Furnishings</t>
  </si>
  <si>
    <r>
      <t xml:space="preserve">Step1: Information
</t>
    </r>
    <r>
      <rPr>
        <b/>
        <sz val="10"/>
        <rFont val="Arial"/>
        <family val="2"/>
      </rPr>
      <t>Please enter in yellow boxes below</t>
    </r>
  </si>
  <si>
    <t>Continuing Income (read notes):</t>
  </si>
  <si>
    <r>
      <t xml:space="preserve">1/4 to wife, the rest to </t>
    </r>
    <r>
      <rPr>
        <i/>
        <sz val="10"/>
        <color indexed="12"/>
        <rFont val="Arial"/>
        <family val="2"/>
      </rPr>
      <t>any religious or other institution or person of your choosing,  It could also be</t>
    </r>
    <r>
      <rPr>
        <sz val="10"/>
        <rFont val="Arial"/>
      </rPr>
      <t xml:space="preserve"> the Islamic Society of North America Inc. to be used as a Waqf whose net return only should be used For ISNA’s activities in North America</t>
    </r>
  </si>
  <si>
    <t>11. For cases where Muslim men have more than one wife, my understanding is that the share of one wife will be divided amongst all wives - the share of others will not be affected.</t>
  </si>
  <si>
    <t>INTRODUCTION:</t>
  </si>
  <si>
    <t>Case 5:Spouse or No Spouse, NO Offspring, NO Parents</t>
  </si>
  <si>
    <t>CASE No. 5: SPOUSE OR NO SPOUSE, NO OFFSPRING, NO PARENTS, AND NO FATHER OF FATHER</t>
  </si>
  <si>
    <t>For the convenience of fellow Muslims, I hope this Inheritance Calculator serves one purpose above all: to educate them about the Islamic Rules of Inheritance; additionally, as a by-product, if the Inheritance Calculator gets used for doing 'what if' scenarios, then that too is a good enough use of the tool.</t>
  </si>
  <si>
    <t>1. Regardless of your confidence in this tool, please verify the output against the ISNA-Schedule, as well as, with a religious scholar.</t>
  </si>
  <si>
    <t>2. There are many circumstances - unique to each situation, that cannot be captured in the tool, for example: I am not sure of the treatment of specific instances, like step-fathers or step-mothers, or what to do with continuing income (e.g., rental income), etc. These were also not mentioned in the ISNA schedule.</t>
  </si>
  <si>
    <t>ISNA – SCHEDULE:</t>
  </si>
  <si>
    <t>« Added text italicized and in blue font, the error in the ISNA Schedule  mentioned “1/8 to wife” in case 1.m)</t>
  </si>
  <si>
    <r>
      <t xml:space="preserve">I direct and ordain that all cases not specifically mentioned in this schedule shall be referred </t>
    </r>
    <r>
      <rPr>
        <i/>
        <sz val="8"/>
        <color indexed="12"/>
        <rFont val="Arial"/>
        <family val="2"/>
      </rPr>
      <t>to a religious scholar or</t>
    </r>
    <r>
      <rPr>
        <sz val="8"/>
        <rFont val="Arial"/>
      </rPr>
      <t xml:space="preserve"> the Islamic Society of North America (ISNA) for distribution of estate, and that the advice of ISNA must be followed to the letter.</t>
    </r>
  </si>
  <si>
    <t xml:space="preserve">For your reference, the ISNA Schedule for Islamic Rules of Inheritance is attached herein. For reference, see websites listed below: </t>
  </si>
  <si>
    <t>http://members.cox.net/ameer1/will.pdf</t>
  </si>
  <si>
    <t>http://www.isnacanada.com/doc/wilb0127.doc</t>
  </si>
  <si>
    <t>http://www.wiao.org/Will/lastwill.html</t>
  </si>
  <si>
    <t>http://www.irvingmasjid.org/Forms/ICI-Will.doc</t>
  </si>
  <si>
    <t>http://www.islamiccenterofnewlondon.com/files/IslamicWill.pdf</t>
  </si>
  <si>
    <t xml:space="preserve">http://www.isna.net/uploads/media/TheScheduleOfMawarith-May222003.pdf </t>
  </si>
  <si>
    <t>IF YOUR CASE IS UNDER NO. 5 BUT NOT FOUND ABOVE, THE EXECUTOR MUST FOLLOW THE ADVICE OF A RELIGIOUS SCHOLAR.</t>
  </si>
  <si>
    <t>CASE No. 6: ALL OTHER CASES</t>
  </si>
  <si>
    <t>Relatives not mentioned in cases (1) through (5) must be disregarded. However,</t>
  </si>
  <si>
    <t>Further, for any interpretation of any of the above cases or articles and provisions</t>
  </si>
  <si>
    <t>« Added text italicized and in blue font.</t>
  </si>
  <si>
    <t>He, or they, get all the remainder such that sons are equal in their class, daughters are equal in their class, and for a daughter half of a son’s share.</t>
  </si>
  <si>
    <r>
      <t xml:space="preserve">of the will, I ordain that the Executor shall refer to </t>
    </r>
    <r>
      <rPr>
        <i/>
        <sz val="8"/>
        <color indexed="12"/>
        <rFont val="Arial"/>
        <family val="2"/>
      </rPr>
      <t>a religious scholar or</t>
    </r>
    <r>
      <rPr>
        <vertAlign val="superscript"/>
        <sz val="8"/>
        <color indexed="12"/>
        <rFont val="Wingdings"/>
      </rPr>
      <t>«</t>
    </r>
    <r>
      <rPr>
        <sz val="8"/>
        <rFont val="Arial"/>
      </rPr>
      <t xml:space="preserve"> the Islamic society of North America (</t>
    </r>
    <r>
      <rPr>
        <b/>
        <sz val="8"/>
        <rFont val="Arial"/>
        <family val="2"/>
      </rPr>
      <t>ISNA</t>
    </r>
    <r>
      <rPr>
        <sz val="8"/>
        <rFont val="Arial"/>
      </rPr>
      <t>), and must follow the advice given.</t>
    </r>
  </si>
  <si>
    <r>
      <t xml:space="preserve">1/6 to mother, 1/6 to father of father, </t>
    </r>
    <r>
      <rPr>
        <i/>
        <sz val="10"/>
        <color indexed="12"/>
        <rFont val="Arial"/>
        <family val="2"/>
      </rPr>
      <t>1/4 to husband</t>
    </r>
    <r>
      <rPr>
        <sz val="10"/>
        <rFont val="Arial"/>
      </rPr>
      <t>, and the rest as in (1.a)</t>
    </r>
  </si>
  <si>
    <r>
      <t xml:space="preserve">Step2: Information on Distribution Amounts
</t>
    </r>
    <r>
      <rPr>
        <b/>
        <sz val="10"/>
        <rFont val="Arial"/>
        <family val="2"/>
      </rPr>
      <t>Please enter in yellow boxes below</t>
    </r>
  </si>
  <si>
    <t>Boxes with a dashed-border are active, click on any of these to proceed to the relevant case and/or table that best fits your situation.</t>
  </si>
  <si>
    <t>3. Only fill in the yellow shaded cell.  NOTE: Make sure you 'reset' all yellow-shaded cells to blank or 'n' or '0' as appropriate before starting to use the tool.</t>
  </si>
  <si>
    <t>4. Cells with white background are protected - to ensure inadvertent deletion/changes.</t>
  </si>
  <si>
    <t>5. Instructions are in cells shaded in gray.</t>
  </si>
  <si>
    <r>
      <t xml:space="preserve">6. If a row is marked </t>
    </r>
    <r>
      <rPr>
        <b/>
        <sz val="10"/>
        <rFont val="Arial"/>
        <family val="2"/>
      </rPr>
      <t>"SKIP"</t>
    </r>
    <r>
      <rPr>
        <sz val="10"/>
        <rFont val="Arial"/>
      </rPr>
      <t xml:space="preserve">, make sure the input is set to either </t>
    </r>
    <r>
      <rPr>
        <b/>
        <sz val="10"/>
        <rFont val="Arial"/>
        <family val="2"/>
      </rPr>
      <t>"N"</t>
    </r>
    <r>
      <rPr>
        <sz val="10"/>
        <rFont val="Arial"/>
      </rPr>
      <t xml:space="preserve"> (No) or </t>
    </r>
    <r>
      <rPr>
        <b/>
        <sz val="10"/>
        <rFont val="Arial"/>
        <family val="2"/>
      </rPr>
      <t>"0"</t>
    </r>
    <r>
      <rPr>
        <sz val="10"/>
        <rFont val="Arial"/>
      </rPr>
      <t xml:space="preserve"> (Zero) or empty/blank for the tool to work properly.</t>
    </r>
  </si>
  <si>
    <t>9. Payouts are calculated per category, for example, if you have more than one son, the payout for son(s) will need to be divided by the # of sons to get the due share for each son.</t>
  </si>
  <si>
    <r>
      <t xml:space="preserve">10. The tool has a total of 4 steps: </t>
    </r>
    <r>
      <rPr>
        <b/>
        <i/>
        <sz val="10"/>
        <rFont val="Arial"/>
        <family val="2"/>
      </rPr>
      <t>Step 1:</t>
    </r>
    <r>
      <rPr>
        <b/>
        <sz val="10"/>
        <rFont val="Arial"/>
        <family val="2"/>
      </rPr>
      <t xml:space="preserve"> General Inputs, </t>
    </r>
    <r>
      <rPr>
        <b/>
        <i/>
        <sz val="10"/>
        <rFont val="Arial"/>
        <family val="2"/>
      </rPr>
      <t>Step 2:</t>
    </r>
    <r>
      <rPr>
        <b/>
        <sz val="10"/>
        <rFont val="Arial"/>
        <family val="2"/>
      </rPr>
      <t xml:space="preserve"> Disposition for Burial, Charities, </t>
    </r>
    <r>
      <rPr>
        <b/>
        <i/>
        <sz val="10"/>
        <rFont val="Arial"/>
        <family val="2"/>
      </rPr>
      <t>Step 3:</t>
    </r>
    <r>
      <rPr>
        <b/>
        <sz val="10"/>
        <rFont val="Arial"/>
        <family val="2"/>
      </rPr>
      <t xml:space="preserve"> Case Selection and using the tool</t>
    </r>
    <r>
      <rPr>
        <sz val="10"/>
        <rFont val="Arial"/>
      </rPr>
      <t xml:space="preserve">, and </t>
    </r>
    <r>
      <rPr>
        <b/>
        <i/>
        <sz val="10"/>
        <rFont val="Arial"/>
        <family val="2"/>
      </rPr>
      <t>Step 4:</t>
    </r>
    <r>
      <rPr>
        <b/>
        <sz val="10"/>
        <rFont val="Arial"/>
        <family val="2"/>
      </rPr>
      <t xml:space="preserve"> Consult a scholar</t>
    </r>
    <r>
      <rPr>
        <sz val="10"/>
        <rFont val="Arial"/>
      </rPr>
      <t>.</t>
    </r>
  </si>
  <si>
    <t>4.x) mother with brother(s) of father and any number of sisters of father, all of the same two parents</t>
  </si>
  <si>
    <t>1/3 to mother, the rest to brother(s) and sister(s) of father according to rules in (1.a)</t>
  </si>
  <si>
    <t>4.y) (4.w) and (4.x) with wife or husband</t>
  </si>
  <si>
    <t>1/3 to mother, 1/4 to wife, or 1/2 to husband, the rest to brother of father or brother(s) and sister(s) of fathers as in (4.x)</t>
  </si>
  <si>
    <t>4.z) father with mother of mother and of father</t>
  </si>
  <si>
    <t>1/6 to mother of mother, the rest to father no mother</t>
  </si>
  <si>
    <t>4.aa) mother with brother(s) and father of father</t>
  </si>
  <si>
    <t>1/6 to mother, the rest among brother(s) and father of father equally, unless grandfather’s share goes below 1/3 (if it does, he gets 1/3 and the rest to brothers equally)</t>
  </si>
  <si>
    <t>4.bb) mother with father of father and brother(s) and any number of sisters all of the same two parents or on father’s side</t>
  </si>
  <si>
    <t>as in (4.aa) and apply rules of (1.a) for brother(s) and sister(s)</t>
  </si>
  <si>
    <t>IF YOUR CASE IS UNDER NO. 4 BUT NOT FOUND ABOVE, THE EXECUTOR MUST FOLLOW THE ADVICE OF A RELIGIOUS SCHOLAR.</t>
  </si>
  <si>
    <t xml:space="preserve">5.A) Wife only </t>
  </si>
  <si>
    <t>5.b) husband only</t>
  </si>
  <si>
    <t>1/2 to husband, the rest as in (5.a)</t>
  </si>
  <si>
    <r>
      <t xml:space="preserve">5.c) husband </t>
    </r>
    <r>
      <rPr>
        <i/>
        <sz val="8"/>
        <color indexed="12"/>
        <rFont val="Arial"/>
        <family val="2"/>
      </rPr>
      <t>or</t>
    </r>
    <r>
      <rPr>
        <sz val="8"/>
        <rFont val="Arial"/>
      </rPr>
      <t xml:space="preserve"> wife, with one brother or more and any number of sisters</t>
    </r>
  </si>
  <si>
    <t>1/2 to husband, or 1/4 to wife the rest to brother(s) and sister(s) according to rules in (1.a)</t>
  </si>
  <si>
    <t xml:space="preserve">5.d) husband or wife, with sister(s), no brothers </t>
  </si>
  <si>
    <t>1/2 to husband or 1/4 to wife, the rest to the sister or equally between sisters</t>
  </si>
  <si>
    <t>5.e) husband or wife, with son or sons of</t>
  </si>
  <si>
    <t>brother(s), or son(s) and any number of</t>
  </si>
  <si>
    <t>daughters of brother(s)</t>
  </si>
  <si>
    <t>As in (5.c) but niece(s) and nephew(s); replace sister(s) and brother(s)</t>
  </si>
  <si>
    <t>5.f) husband or wife, with brother(s) of father</t>
  </si>
  <si>
    <t>1/2 to husband or 1/4 to wife and the rest to uncle or uncles</t>
  </si>
  <si>
    <t>equally between them</t>
  </si>
  <si>
    <t>5.g) husband, or wife, with one brother of father</t>
  </si>
  <si>
    <t>or more, and any number of sisters of father</t>
  </si>
  <si>
    <t>1/2 to husband or 1/4 to wife, rest to uncle(s) and aunt(s)</t>
  </si>
  <si>
    <t>according to the rules in(1.a)</t>
  </si>
  <si>
    <t>4.k) (4.j) with husband or wife</t>
  </si>
  <si>
    <t>1/6 to mother, 1/4 to wife, or 1/2 to husband, the rest to brothers or brother(s) and sister(s) as in rules (1.a)</t>
  </si>
  <si>
    <t>4.l) mother with two sisters or more, of the same two parents or on father’s side</t>
  </si>
  <si>
    <t>1/5 to mother, 4/5 to sisters equally between them</t>
  </si>
  <si>
    <t>4.m) (4.l) with husband or wife</t>
  </si>
  <si>
    <t>3/13 to wife, 2/13 to mother, 8/13 to sisters equally between them. 3/7 to husband, 1/7 to mother, 3/7 to sisters equally between them</t>
  </si>
  <si>
    <t>4.n) mother with one brother on mother’s side or one sister on mother’s side</t>
  </si>
  <si>
    <t>2/3 to mother, 1/3 to brother or sister</t>
  </si>
  <si>
    <t>4.o)(4.n) with husband or wife</t>
  </si>
  <si>
    <t>1/4 to wife, 1/2 to mother 1/4 to brother or sister.</t>
  </si>
  <si>
    <t>1/2 to husband, 1/3 to mother, 1/6 to brother or sister.</t>
  </si>
  <si>
    <t>4.p) mother with more than one brother and/or sister on mother’s side</t>
  </si>
  <si>
    <t>1/3 to mother, 2/3 to brother(s) and sister(s),</t>
  </si>
  <si>
    <t>equally between them all.</t>
  </si>
  <si>
    <t>4.q) (4.p) with husband or wife</t>
  </si>
  <si>
    <t>1/4 to wife, 1/4 to mother, 1/2 to brother(s) and sister(s) equally between them all. 1/2 to husband, 1/6 to mother, 1/3 to brother(s) and sister(s) equally between them all.</t>
  </si>
  <si>
    <t>4.r) mother with father of father, no brother(s), no sister(s)</t>
  </si>
  <si>
    <t>1/3 to mother, the rest to father of father</t>
  </si>
  <si>
    <t>4.s) (4.r) with husband or wife</t>
  </si>
  <si>
    <t>1/3 to mother, 1/4 to wife or 1/2  to husband, the rest to</t>
  </si>
  <si>
    <t>grandfather</t>
  </si>
  <si>
    <t>4.t) mother with son of brother, (the brother is of the same parents)</t>
  </si>
  <si>
    <t>1/3 to mother, the rest to son of brother</t>
  </si>
  <si>
    <t>4.u) mother with children of brother(s), (the brother is of the same parents)</t>
  </si>
  <si>
    <t>1/3 to mother, the rest to children of brother(s) according to rules in (1.a)</t>
  </si>
  <si>
    <t>4.v) (4.t) or (4.u) with wife or husband</t>
  </si>
  <si>
    <t>1/3 to mother, 1/4 to wife, or 1/2 to husband and the rest to son or children of brother(s) as in (4.t) or (4.u)</t>
  </si>
  <si>
    <t>4.w) mother with brother of father</t>
  </si>
  <si>
    <t>1/3 to mother, the rest to brother of father the same two parents</t>
  </si>
  <si>
    <t>2.ee) with one grandmother, either side, or both</t>
  </si>
  <si>
    <t>grandmothers</t>
  </si>
  <si>
    <t>5/6 to daughter and 1/6 to grandmother or grandmothers, equally between them, If more than one daughter, 5/6 to daughters and 1/6 to grandmother(s).</t>
  </si>
  <si>
    <t>IF YOUR CASE IS UNDER NO. 2 BUT NOT FOUND ABOVE, THE EXECUTOR MUST FOLLOW THE ADVICE OF A RELIGIOUS SCHOLAR.</t>
  </si>
  <si>
    <t>CASE No. 3: CHILDREN OF SON(S), NO SONS, NO DAUGHTERS</t>
  </si>
  <si>
    <t>Apply Case No. 1. and Case No. 2 after substituting daughter(s) of son(s) for daughter(s) and son(s) of son(s) for son(s).</t>
  </si>
  <si>
    <t xml:space="preserve">4.a) father alone; or father and brother(s) and/or sister(s) </t>
  </si>
  <si>
    <t>all the remainder to father alone, nothing to brother(s) and sister(s)</t>
  </si>
  <si>
    <t>4.b) father and wife or husband</t>
  </si>
  <si>
    <t>1/4 to wife, or 1/2 to husband and the rest to father</t>
  </si>
  <si>
    <t>4.c) father and mother, no brothers, no sisters</t>
  </si>
  <si>
    <t>1/3 to mother, the rest to father</t>
  </si>
  <si>
    <t>4.d) (4.c) with husband or wife</t>
  </si>
  <si>
    <t>1/4 to wife, 1/6 to mother, the rest to father. 1/2 to husband, 1/6 to mother, the rest father.</t>
  </si>
  <si>
    <t>4.e) both parents, with brother(s) and/or sister(s)</t>
  </si>
  <si>
    <t>and with wife or husband</t>
  </si>
  <si>
    <t>1/6 to mother, nothing to brother(s) and sister(s), the rest to father. 1/6 to mother, nothing to brother(s) and sister(s), 1/4 to wife, or 1/2 to husband; the rest to father.</t>
  </si>
  <si>
    <t>4.f) mother only</t>
  </si>
  <si>
    <t>she takes all the remainder</t>
  </si>
  <si>
    <t>4.g) mother and husband or wife</t>
  </si>
  <si>
    <t>1/4 to wife, or 1/2 to husband, and the rest to mother</t>
  </si>
  <si>
    <t>4.h) mother with one brother or one sister of the same two parents or on father’s side</t>
  </si>
  <si>
    <t>1/3 to mother, rest to brother. 2/5 to mother, the rest to sister</t>
  </si>
  <si>
    <t>4.i) (4.h) with husband or wife</t>
  </si>
  <si>
    <t xml:space="preserve">1/3 to mother, 1/2 to husband or 1/4 to wife, the rest to brother. 4/13 to mother 3/13 to wife, and 6/13 to sister. </t>
  </si>
  <si>
    <t>2/8 to mother, 3/8 to husband, and 3/8 to sister.</t>
  </si>
  <si>
    <t>4.j) mother with at least two brothers, brother(s) and sister(s) all of same two parents or on father’s side</t>
  </si>
  <si>
    <t>1/6 to mother, the rest to brothers or brother(s) and sister(s) according to rules in (1.a).</t>
  </si>
  <si>
    <t>If more than one daughter, 2/3 to daughters, 1/8 to wife, 1/6 to parent and 1/24 to children of son(s) as in (2.t) and (2.u); or, 8/13 to daughters, 2/13 to parent and 3/13 to husband, nothing to grandchildren.</t>
  </si>
  <si>
    <t>2.y) (2.v) with father of father, no father and no brothers, and mother; or with father of father, no father and no brother(s) and grandmothers(s) on either side, and no mother.</t>
  </si>
  <si>
    <t>As in (2.w), but replace father of father for father and grandmother(s) for mother. Share of grandmothers is divided equally between them.</t>
  </si>
  <si>
    <t>2.z) with daughters of son(s) and no sons of sons</t>
  </si>
  <si>
    <t>3/4 to the daughter and 1/4 to daughter(s) of son(s), equally between them. If more than one daughter; all to daughters, nothing to daughter(s) of son(s).</t>
  </si>
  <si>
    <t>2.aa) with sister(s) of same parents (no brothers),</t>
  </si>
  <si>
    <t>or with brother(s) of the same two parents</t>
  </si>
  <si>
    <t>(no sisters)</t>
  </si>
  <si>
    <t>1/2 to the daughter, 1/2 to sister (or brother), or equally among all sisters (or brothers). If more than one daughter; 2/3 to daughters, 1/3 to sister (or brother) or equally among sisters (or brothers).</t>
  </si>
  <si>
    <t>2.bb) with sister(s) and brothers(s) the of same two parents</t>
  </si>
  <si>
    <t>1/2 to daughter, 1/2 to sister(s) and brother(s) on the basis of one share to female and two shares to male. If more than one daughter, 2/3 to daughters, 1/3 to sister(s) and brother(s) on same basis.</t>
  </si>
  <si>
    <t>2.cc) (2.aa) or (2.bb) with wife or husband</t>
  </si>
  <si>
    <t>1/2 to daughter, 1/8 to wife and 3/8 to sister(s) and/or brother(s) as in (2.aa) and (2.bb). 1/2 to daughter, 1/4 to husband, 1/4 to sister(s) and/or brother(s) as in (2.aa) or (2.bb) respectively. If more than one daughter, 2/3 to daughters, 1/4 to husband, or 1/8 to wife, the rest to sister(s) and/or brother(s) as in (2.aa) or (2.bb) respectively.</t>
  </si>
  <si>
    <t>2.dd) with uncle(s) from same parents as father</t>
  </si>
  <si>
    <t>1/2 to daughter and the rest to uncle, or uncles equally between them. If more than one daughter, 2/3 to daughters and the rest to uncle or uncles equally between them.</t>
  </si>
  <si>
    <t>As in (2.l) but father of father in place of father and grandmother in place of mother; the two grandmothers divide the share of mother equally between themselves.</t>
  </si>
  <si>
    <t>2.s) (2.p), (2.q), (2.r) but in place of mother, both mother of mother, mother of father; or mother of mother of mother, mother of mother father and mother of father of father; disregard mother of father of mother</t>
  </si>
  <si>
    <t>The two grandmothers (or the three great grandmothers) share equally what is assigned to the mother or one grandmother in cases (2.p), (2.q), and (2.r); the rest as in (2.p), (2.q), and (2.r) respectively.</t>
  </si>
  <si>
    <t>2.t) with son of son</t>
  </si>
  <si>
    <t>1/2 to daughter, 1/2 to son of son.</t>
  </si>
  <si>
    <t>If more than one, 2/3 to daughters equally and 1/3 to son of son.</t>
  </si>
  <si>
    <t>2.u) with more than one son of son(s) and any number of daughters of son(s)</t>
  </si>
  <si>
    <t>As in (2.t), but the share of son of son is divided among son of son(s) and daughters of son(s) according to rules stated in (1.a).</t>
  </si>
  <si>
    <t>2.v) (2.t) or (2.u) with wife or husband</t>
  </si>
  <si>
    <t>1/2 to daughter, 1/8 to wife, or 1/4 to husband, the rest to children of son(s) as in (2.t) or (2.u). If more than one daughter, 2/3 to daughters equally, 1/4 to husband or 1/8 to wife, the rest to children of son(s) as in (2.t) or (2.u).</t>
  </si>
  <si>
    <t>2.w) (2.v) with both parents</t>
  </si>
  <si>
    <t>1/2 to daughter, 1/8 to wife, 1/6 to mother, 1/6 to father, and 1/24 to grandchildren as in (2.t) or (2.u). 6/13 to daughter, 3/13 to husband, 2/13 to father, 2/13 to mother, nothing to grandchildren. If more than one daughter, 16/27 to daughters equally, 3/27 to wife, 4/27 to mother, 4/27 to father, nothing to grandchildren. 8/15 to daughters, 3/15 to husband and 2/15 to mother, 2/15 to father, nothing to grandchildren.</t>
  </si>
  <si>
    <t>2.x) (2.v) with one parent</t>
  </si>
  <si>
    <t>1/2 to daughter, 1/8 to wife, 1/6 to parent, and 5/24 to children of son(s) as in (2.t) and (2.u): or, 1/2 to daughter, 1/4 to husband. 1/6 to parent, and 1/12 to children of son(s) as in (2.t) and (2.u).</t>
  </si>
  <si>
    <t>1/8 to wife, 1/2 to daughter, and 3/8 to father. If more than one, 2/3 to daughters equally, 1/8 to wife, and 5/24 to father.</t>
  </si>
  <si>
    <t xml:space="preserve">2.h) with wife and mother </t>
  </si>
  <si>
    <t>1/8 to wife, 7/32 to mother, 21/32 to daughter. If more than one, 1/8 to wife, 7/40 to mother, and 7/10 to daughters equally.</t>
  </si>
  <si>
    <t>2.i) with wife and both parents</t>
  </si>
  <si>
    <t>1/8 wife, 1/6 to mother, 5/24 to father, and 1/2 to daughter. If more than one, 3/27 to wife, 4/27 to mother, 4/27 to father, and 16/27 to daughters equally.</t>
  </si>
  <si>
    <t>2.j) with husband and father</t>
  </si>
  <si>
    <t>1/4 to husband, 1/4 to father, and 1/2 to daughter. If more than one, 3/13 to husband, 2/13 to father, and 8/13 to daughters equally.</t>
  </si>
  <si>
    <t>2.k) with husband and mother</t>
  </si>
  <si>
    <t>1/4 to husband, 7/36 to mother, 5/9 to daughter. If more than one, 3/13 to husband, 2/13 to mother, and 8/13 to daughters equally.</t>
  </si>
  <si>
    <t>2.l) with husband and both parents</t>
  </si>
  <si>
    <t>3/13 to husband, 2/13 to father, 2/13 to mother, and 6/13 to daughter. If more than one, 3/15 to husband, 2/15 to father, 2/15 to mother, and 8/15 to daughters equally.</t>
  </si>
  <si>
    <t>2.m) with father of father, no father, and no brothers</t>
  </si>
  <si>
    <t>1/2 to father of father, 1/2 to daughter. If more than one, 1/3 to father of father and 2/3 to daughters equally.</t>
  </si>
  <si>
    <t xml:space="preserve">2.n) (2.m) with wife </t>
  </si>
  <si>
    <t>As in (2.g), but father of father in place of father.</t>
  </si>
  <si>
    <t>2.o) (2.m) with husband</t>
  </si>
  <si>
    <t>As in (2.j), but father of father in place of father.</t>
  </si>
  <si>
    <t>2.p) (2.m) with mother, or without mother but with either mother of father or mother of mother</t>
  </si>
  <si>
    <t>As in (2.f), but father of father in place of father and grandmother in place of mother; the two grandmothers divide share of mother equally between themselves.</t>
  </si>
  <si>
    <t>2.q) (2.p) with wife</t>
  </si>
  <si>
    <t>As in (2.i), but father of father in place of father and grandmother in place of mother; the two grandmothers divide the share of mother equally between themselves.</t>
  </si>
  <si>
    <t xml:space="preserve">2.r) (2.p) with husband </t>
  </si>
  <si>
    <t>1.q) with either mother of father or mother of mother, no parents, and no father of father</t>
  </si>
  <si>
    <t>1/6 to mother of mother or mother of father, the rest as in (1.a)</t>
  </si>
  <si>
    <t>1.r) (1.q) with wife</t>
  </si>
  <si>
    <t>1/6 to mother of mother or mother of father, 1/8 to wife, the rest as in (1.a)</t>
  </si>
  <si>
    <t>1.s) (1.q) with husband</t>
  </si>
  <si>
    <t>1/6 to mother of mother or mother of father, 1/4 to husband, the rest as in (1/a)</t>
  </si>
  <si>
    <t xml:space="preserve">1.t) (1.h), (1.n), or (1.q), but instead of one grandmother, there are two or </t>
  </si>
  <si>
    <t>more, same degree, grandmothers</t>
  </si>
  <si>
    <t>(i.e. mother of mother and mother of father; or mother of mother of mother, mother of mother of father, and mother of father of father, disregard mother of father of mother, and no mother of mother nor mother of father)</t>
  </si>
  <si>
    <t xml:space="preserve">grandmothers share equally 1/6, father or grandfather 1/6, the rest as in (1.a) </t>
  </si>
  <si>
    <t>1.u) (1.t) with husband or wife</t>
  </si>
  <si>
    <t>grandmothers share equally 1/6, father or grandfather 1/6, husband 1/4, or wife 1/8, the rest as in (1.a)</t>
  </si>
  <si>
    <t>1.v) In each of (1.a) through (1.u), disregard all</t>
  </si>
  <si>
    <t>other relatives not mentioned in the relevant</t>
  </si>
  <si>
    <t>sub cases</t>
  </si>
  <si>
    <t>IF YOUR CASE IS UNDER NO. 1 BUT NOT FOUND ABOVE, THE EXECUTOR MUST FOLLOW THE ADVICE OF A RELIGIOUS SCHOLAR.</t>
  </si>
  <si>
    <t>CASE No. 2: DAUGHTER OR DAUGHTERS; NO SONS</t>
  </si>
  <si>
    <t>2.a) with no other relatives</t>
  </si>
  <si>
    <t>If one only, she takes all the remainder. If more than one, they equally share all the remainder.</t>
  </si>
  <si>
    <t xml:space="preserve">2.b) with wife </t>
  </si>
  <si>
    <t>1/8 to wife, the rest as in (2.a)</t>
  </si>
  <si>
    <t xml:space="preserve">2.c) with husband </t>
  </si>
  <si>
    <t>1/4 to husband, the rest as in (2.a)</t>
  </si>
  <si>
    <t xml:space="preserve">2.d) with father </t>
  </si>
  <si>
    <t>1/2 to the one daughter, 1/2 to father. If more than one, they share 2/3 equally and 1/3 to father.</t>
  </si>
  <si>
    <t>2.e) with mother</t>
  </si>
  <si>
    <t>1/4 to mother, 3/4 to daughter. If more than one, they share 4/5 equally and 1/5 to mother.</t>
  </si>
  <si>
    <t>2.f) with both parents</t>
  </si>
  <si>
    <t>1/6 to mother, 1/3 to father, 1/2 to daughter. If more than one, 2/3 to daughters equally, 1/6 to mother, and 1/6 to father.</t>
  </si>
  <si>
    <t>2.g) with wife and father</t>
  </si>
  <si>
    <t>Enter #, &gt;0</t>
  </si>
  <si>
    <t>Case 2b or 3c: Daughters, NO Sons</t>
  </si>
  <si>
    <t>Case 1 or 3a: Son(s)+Daughter(s)</t>
  </si>
  <si>
    <t>MAWARITH (THE ISLAMIC DISTRIBUTION OF THE ESTATE)</t>
  </si>
  <si>
    <t>CASE No. 1: ONE SON OR MORE AND ANY NUMBER OF DAUGHTERS</t>
  </si>
  <si>
    <t>Surviving Heirs</t>
  </si>
  <si>
    <t>Share of the Remainder of My Estate</t>
  </si>
  <si>
    <t xml:space="preserve">1.a) with no other relatives </t>
  </si>
  <si>
    <t xml:space="preserve">1.b) with wife  </t>
  </si>
  <si>
    <t>1/8 to wife, the rest as in (1.a)</t>
  </si>
  <si>
    <t>1.c) with husband</t>
  </si>
  <si>
    <t>1/4 to husband, the rest as in (1.a)</t>
  </si>
  <si>
    <t xml:space="preserve">1.d) with father and mother </t>
  </si>
  <si>
    <t>1/6 to father and 1/6 to mother, the rest as in (1.a)</t>
  </si>
  <si>
    <t xml:space="preserve">1.e) with one parent  </t>
  </si>
  <si>
    <t>1/6 to parent, the rest as in (1.a)</t>
  </si>
  <si>
    <t xml:space="preserve">1.f) with any possible combination </t>
  </si>
  <si>
    <t xml:space="preserve">of (1.b), (1.c), (1.d), and (1.e)  </t>
  </si>
  <si>
    <t>spouse and parents take shares mentioned above, and the rest as in (1.a)</t>
  </si>
  <si>
    <t xml:space="preserve">1.g) with father of father, no parents, </t>
  </si>
  <si>
    <t>no other grandparents</t>
  </si>
  <si>
    <t>1/6 to father of father and the rest as in (1.a)</t>
  </si>
  <si>
    <t>1.h) with father of father and mother of mother of father or mother of mother, no parents</t>
  </si>
  <si>
    <t>1/6 to father of father, 1/6 to either father</t>
  </si>
  <si>
    <t>or mother of mother, the rest as in (1.a)</t>
  </si>
  <si>
    <t xml:space="preserve">1.i) (1.g) or (1.h) with wife </t>
  </si>
  <si>
    <t>1/6 to mother of father or of mother (if she exists); 1/6 to father of father, 1/8 to wife, the rest as in (1.a)</t>
  </si>
  <si>
    <t>1.j) (1.g) or (1.h) with husband</t>
  </si>
  <si>
    <t>1/6 to mother of father or of mother (if she exists); 1/6 to father of father; 1/4 to husband; the rest as in (1.a)</t>
  </si>
  <si>
    <t>1.k) with father of father, and mother, no father</t>
  </si>
  <si>
    <t>1/6 to mother, 1/6 to father of father, the rest as in (1.a)</t>
  </si>
  <si>
    <t xml:space="preserve">1.l) (1.k) with wife </t>
  </si>
  <si>
    <t>1/6 to mother, 1/6 to father of father, 1/8 to wife, and the rest as in (1.a)</t>
  </si>
  <si>
    <t>1.m) (1.k) with husband</t>
  </si>
  <si>
    <t xml:space="preserve">1.n) with father and mother of mother (no mother) </t>
  </si>
  <si>
    <t>1/6 to mother of mother, 1/6 to father, and the rest as in (1.a)</t>
  </si>
  <si>
    <t>1.o) (1.n) with wife</t>
  </si>
  <si>
    <t>1/6 to father, 1/6 to mother of mother, 1/8 to wife, and the rest as in (1.a)</t>
  </si>
  <si>
    <t>1.p) (1.n) with husband</t>
  </si>
  <si>
    <t>1/6 to father, 1/6 to mother of mother, 1/4 to husband, and the rest as in (1.a)</t>
  </si>
  <si>
    <t>Sibling (of same parents or from father's side)</t>
  </si>
  <si>
    <t>Sibling (from mother's side)</t>
  </si>
  <si>
    <t>TABLE 1: Father, or Mother, or both parents with NO or only ONE sibling</t>
  </si>
  <si>
    <t>TABLE 2: Mother ONLY with AT LEAST two siblings</t>
  </si>
  <si>
    <t>Equal share of Siblings from Mother's side</t>
  </si>
  <si>
    <t>Father of Father alive, no brother(s), no sister(s)</t>
  </si>
  <si>
    <t>Father of father</t>
  </si>
  <si>
    <t>Share of son(s) of brother(s)</t>
  </si>
  <si>
    <t>Share of daughter(s) of brother(s)</t>
  </si>
  <si>
    <t>Brother(s) of father</t>
  </si>
  <si>
    <t>Sister(s) of father</t>
  </si>
  <si>
    <t>Mother of mother</t>
  </si>
  <si>
    <t>Brothers of the same two parents or from father's side</t>
  </si>
  <si>
    <t>Sisters of the same two parents or from father's side</t>
  </si>
  <si>
    <t>TABLE 3: Mother ONLY OR mother of mother with NO Siblings</t>
  </si>
  <si>
    <t>TABLE 4: Mother with Father of Father with Brother(s) &amp;/or Sister(s)</t>
  </si>
  <si>
    <t>Father of Father alive? (must equal 'Y')</t>
  </si>
  <si>
    <t>Share of brother(s) to be divided equally</t>
  </si>
  <si>
    <t>Share of sister(s) to be divided equally</t>
  </si>
  <si>
    <t>Enter # of brother(s)</t>
  </si>
  <si>
    <t>Enter # of sister(s)</t>
  </si>
  <si>
    <t>Daughter(s) of brother(s)</t>
  </si>
  <si>
    <t>Son(s) of brother(s)</t>
  </si>
  <si>
    <t>Uncle(s) - brother(s) of father</t>
  </si>
  <si>
    <t>Aunt(s) - sister(s) of father</t>
  </si>
  <si>
    <t>Enter # of Daughters (must be &gt;1)</t>
  </si>
  <si>
    <t>TABLE 2: &gt; 1 daughter, and grandchild/ren</t>
  </si>
  <si>
    <t>TABLE 3: &gt; 1 daughter, and sister(s)/brother(s) OR Uncle(s) - NO Parents</t>
  </si>
  <si>
    <t>Daughters</t>
  </si>
  <si>
    <t>Wife</t>
  </si>
  <si>
    <t>Husband</t>
  </si>
  <si>
    <t>Must = 1</t>
  </si>
  <si>
    <t>Must be &gt;1</t>
  </si>
  <si>
    <t>Must = Y/N</t>
  </si>
  <si>
    <t>Must = H (husband) / W (wife)</t>
  </si>
  <si>
    <t>Must = B (Brother) /
S (Sister)</t>
  </si>
  <si>
    <t>INSTRUCTIONS:</t>
  </si>
  <si>
    <t>Must =1</t>
  </si>
  <si>
    <t>No others</t>
  </si>
  <si>
    <t>W Husband</t>
  </si>
  <si>
    <t>W Wife</t>
  </si>
  <si>
    <t>W Wife &amp; both P</t>
  </si>
  <si>
    <t>W Husband &amp; both P</t>
  </si>
  <si>
    <t>W Wife &amp; one P</t>
  </si>
  <si>
    <t>W Husband &amp; one P</t>
  </si>
  <si>
    <t>W Wife &amp; FoF &amp; mother</t>
  </si>
  <si>
    <t>W Husband &amp; FoF &amp; mother</t>
  </si>
  <si>
    <t>W Wife &amp; FoF &amp; grandmother(s)</t>
  </si>
  <si>
    <t>W Husband &amp; FoF &amp; grandmother(s)</t>
  </si>
  <si>
    <t>No Sons, Only Daughter of son(s), no others</t>
  </si>
  <si>
    <t>Currency/Denomination:</t>
  </si>
  <si>
    <t>Must = Y</t>
  </si>
  <si>
    <t>Is Mother (or mother of mother) only alive? (must equal 'Y')</t>
  </si>
  <si>
    <t>Name:</t>
  </si>
  <si>
    <t>Date:</t>
  </si>
  <si>
    <t>Total</t>
  </si>
  <si>
    <t>Bank Balance</t>
  </si>
  <si>
    <t>y</t>
  </si>
  <si>
    <t>Liabilities &amp; Debt:</t>
  </si>
  <si>
    <t>Property Taxes &amp; Liens</t>
  </si>
  <si>
    <t>Itemized Assets:</t>
  </si>
  <si>
    <t>Father</t>
  </si>
  <si>
    <t>Mother</t>
  </si>
  <si>
    <t>Son</t>
  </si>
  <si>
    <t>Daughter</t>
  </si>
  <si>
    <t>Business</t>
  </si>
  <si>
    <t>Pension</t>
  </si>
  <si>
    <t>Rental Income</t>
  </si>
  <si>
    <t>Profits from Passive Investment</t>
  </si>
  <si>
    <t>Amount Available After Debt Repayment</t>
  </si>
  <si>
    <t>Total Assets Available</t>
  </si>
  <si>
    <t>Dispositions:</t>
  </si>
  <si>
    <t>Burial Expenses</t>
  </si>
  <si>
    <t>Amount Available After Burial Expenses</t>
  </si>
  <si>
    <t>Father of Father</t>
  </si>
  <si>
    <t>Mother of Father</t>
  </si>
  <si>
    <t>Mother of Mother</t>
  </si>
  <si>
    <t>Enter #</t>
  </si>
  <si>
    <t>n</t>
  </si>
  <si>
    <t>Is the father alive?</t>
  </si>
  <si>
    <t>Is the mother alive?</t>
  </si>
  <si>
    <t>Enter relationship to surviving spouse, if no surviving spouse, then leave blank?</t>
  </si>
  <si>
    <t>Spouse</t>
  </si>
  <si>
    <t>Enter # of sons? (must be at least 1)</t>
  </si>
  <si>
    <t>Enter # of daughters? (if no daughters, then enter 0)</t>
  </si>
  <si>
    <t>Mother of Mother of Father</t>
  </si>
  <si>
    <t>Mother of Mother of Mother</t>
  </si>
  <si>
    <t>Payouts In A Given Category</t>
  </si>
  <si>
    <t>Both Parents (share of mother)</t>
  </si>
  <si>
    <t>Father Only Surviving Parent</t>
  </si>
  <si>
    <t>Mother Only Surviving Parent</t>
  </si>
  <si>
    <t>Mother of Father of Father</t>
  </si>
  <si>
    <t>Son(s) of Son ONLY (no daughter(s) of sons)</t>
  </si>
  <si>
    <t>Daughter(s) of Sons (in addition to Son(s) of Son</t>
  </si>
  <si>
    <t>Son(s) of Son - to be divided equally</t>
  </si>
  <si>
    <t>One Daughter Only (must be equal to 1)</t>
  </si>
  <si>
    <t>Remaining spouse is wife?</t>
  </si>
  <si>
    <t>Wife (remaining spouse)</t>
  </si>
  <si>
    <t>Husband (remaining spouse)</t>
  </si>
  <si>
    <t>Are both parents alive?</t>
  </si>
  <si>
    <t>Both Parents (share of father)</t>
  </si>
  <si>
    <t>Daughters of Son(s)</t>
  </si>
  <si>
    <t>Only One Parent Alive</t>
  </si>
  <si>
    <t>Father of Father Alive (no Father)</t>
  </si>
  <si>
    <t>TABLE 2: Only one daughter, and grandchild/ren</t>
  </si>
  <si>
    <t>Brother(s) of Same Parents</t>
  </si>
  <si>
    <t>Sister(s) of Same Parents</t>
  </si>
  <si>
    <t>Brother(s) - to be divided equally</t>
  </si>
  <si>
    <t>Sister(s) - to be divided equally</t>
  </si>
  <si>
    <t>TABLE 3: Only one daughter, and sister(s)/brother(s) OR Uncle(s) - NO Parents</t>
  </si>
  <si>
    <t>Uncle(s)</t>
  </si>
  <si>
    <r>
      <t xml:space="preserve">Uncle(s) from the same parents as father? </t>
    </r>
    <r>
      <rPr>
        <sz val="10"/>
        <color indexed="48"/>
        <rFont val="Arial"/>
        <family val="2"/>
      </rPr>
      <t>(Only applicable if No Brother(s) and No Sister(s) and No Spouse)</t>
    </r>
  </si>
  <si>
    <t>Input</t>
  </si>
  <si>
    <t>Is Mother only alive? (must equal 'Y')</t>
  </si>
  <si>
    <t>Sister(s)</t>
  </si>
  <si>
    <t>Brother(s)</t>
  </si>
  <si>
    <t>w</t>
  </si>
  <si>
    <r>
      <t>Bismillah Ar Rahman Ar Rahim.</t>
    </r>
    <r>
      <rPr>
        <b/>
        <sz val="10"/>
        <color indexed="48"/>
        <rFont val="Arial"/>
        <family val="2"/>
      </rPr>
      <t xml:space="preserve">
&gt; "It is the duty of a Muslim who has anything to bequeath not to let two nights pass without writing a will about it." </t>
    </r>
    <r>
      <rPr>
        <sz val="10"/>
        <color indexed="48"/>
        <rFont val="Arial"/>
        <family val="2"/>
      </rPr>
      <t>(Sahih al-Bukhari)</t>
    </r>
    <r>
      <rPr>
        <b/>
        <sz val="10"/>
        <color indexed="48"/>
        <rFont val="Arial"/>
        <family val="2"/>
      </rPr>
      <t xml:space="preserve">
&gt; "And whosoever disobeys Allah and His Messenger, and transgresses His limits, He will cast him into the Fire, to abide therein; and he shall have a disgraceful torment." </t>
    </r>
    <r>
      <rPr>
        <sz val="10"/>
        <color indexed="48"/>
        <rFont val="Arial"/>
        <family val="2"/>
      </rPr>
      <t>[Quran 4:14]</t>
    </r>
    <r>
      <rPr>
        <b/>
        <sz val="10"/>
        <color indexed="48"/>
        <rFont val="Arial"/>
        <family val="2"/>
      </rPr>
      <t xml:space="preserve"> </t>
    </r>
    <r>
      <rPr>
        <sz val="10"/>
        <color indexed="48"/>
        <rFont val="Arial"/>
        <family val="2"/>
      </rPr>
      <t xml:space="preserve">NOTE: These verses immediately follow the verses giving specific details on inheritance shares.
</t>
    </r>
    <r>
      <rPr>
        <b/>
        <sz val="10"/>
        <color indexed="48"/>
        <rFont val="Arial"/>
        <family val="2"/>
      </rPr>
      <t xml:space="preserve">&gt; "A Muslim cannot be the heir of a disbeliever, nor can a disbeliever be the heir of a Muslim." </t>
    </r>
    <r>
      <rPr>
        <sz val="10"/>
        <color indexed="48"/>
        <rFont val="Arial"/>
        <family val="2"/>
      </rPr>
      <t>(Sahih al-Bukhari)</t>
    </r>
  </si>
  <si>
    <r>
      <t>Tool Name:</t>
    </r>
    <r>
      <rPr>
        <sz val="10"/>
        <rFont val="Arial"/>
      </rPr>
      <t xml:space="preserve"> Inheritance Calculator;  </t>
    </r>
    <r>
      <rPr>
        <b/>
        <i/>
        <sz val="10"/>
        <rFont val="Arial"/>
        <family val="2"/>
      </rPr>
      <t>Version:</t>
    </r>
    <r>
      <rPr>
        <sz val="10"/>
        <rFont val="Arial"/>
      </rPr>
      <t xml:space="preserve"> 3 (beta);  Original Release </t>
    </r>
    <r>
      <rPr>
        <b/>
        <i/>
        <sz val="10"/>
        <rFont val="Arial"/>
        <family val="2"/>
      </rPr>
      <t>Date:</t>
    </r>
    <r>
      <rPr>
        <sz val="10"/>
        <rFont val="Arial"/>
      </rPr>
      <t xml:space="preserve"> November 30, 2005</t>
    </r>
  </si>
  <si>
    <t>As I began working on my own Islamic Will, I realized how little information is available on the topic, and likewise, how little the majority of Muslims know about Islamic Rules of Inheritance, not to mention that a majority don't even have a Will of their own.  Clearly, this implies two things: 1) a majority of us will die leaving our loved ones without outlining their due share, and 2) those who do make wills of their own accord, without incorporating Islamic Rules of Inheritance, will not distribute their assets/estate as Allah (SWT) has ordained.</t>
  </si>
  <si>
    <r>
      <t xml:space="preserve">In this tool, I have attempted to capture Islamic Rules of Inheritance as per the ISNA Schedule: Mawarith.  The ISNA Schedule is in the last tab (work sheet) herein. Note: Where I have added text or made corrections I have marked them in </t>
    </r>
    <r>
      <rPr>
        <i/>
        <sz val="10"/>
        <color indexed="12"/>
        <rFont val="Arial"/>
        <family val="2"/>
      </rPr>
      <t>italics</t>
    </r>
    <r>
      <rPr>
        <sz val="10"/>
        <rFont val="Arial"/>
      </rPr>
      <t xml:space="preserve"> and in </t>
    </r>
    <r>
      <rPr>
        <sz val="10"/>
        <color indexed="12"/>
        <rFont val="Arial"/>
        <family val="2"/>
      </rPr>
      <t>blue</t>
    </r>
    <r>
      <rPr>
        <sz val="10"/>
        <rFont val="Arial"/>
      </rPr>
      <t xml:space="preserve"> font for easy reference.  I have also listed URLs you can go directly to where this ISNA Inheritance Schedule is available.</t>
    </r>
  </si>
  <si>
    <t xml:space="preserve"> </t>
  </si>
  <si>
    <t>h</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</si>
</sst>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33" x14ac:knownFonts="1">
    <font>
      <sz val="10"/>
      <name val="Arial"/>
    </font>
    <font>
      <sz val="10"/>
      <name val="Arial"/>
    </font>
    <font>
      <b/>
      <i/>
      <sz val="10"/>
      <name val="Arial"/>
      <family val="2"/>
    </font>
    <font>
      <b/>
      <sz val="10"/>
      <name val="Arial"/>
      <family val="2"/>
    </font>
    <font>
      <sz val="10"/>
      <color indexed="10"/>
      <name val="Arial"/>
    </font>
    <font>
      <sz val="8"/>
      <name val="Arial"/>
    </font>
    <font>
      <sz val="7"/>
      <color indexed="10"/>
      <name val="Arial"/>
    </font>
    <font>
      <sz val="10"/>
      <color indexed="48"/>
      <name val="Arial"/>
      <family val="2"/>
    </font>
    <font>
      <u/>
      <sz val="10"/>
      <color indexed="12"/>
      <name val="Arial"/>
    </font>
    <font>
      <b/>
      <sz val="10"/>
      <color indexed="9"/>
      <name val="Arial"/>
      <family val="2"/>
    </font>
    <font>
      <sz val="10"/>
      <color indexed="9"/>
      <name val="Arial"/>
      <family val="2"/>
    </font>
    <font>
      <sz val="8"/>
      <color indexed="10"/>
      <name val="Arial"/>
    </font>
    <font>
      <sz val="10"/>
      <color indexed="48"/>
      <name val="Arial"/>
      <family val="2"/>
    </font>
    <font>
      <sz val="10"/>
      <name val="Arial"/>
    </font>
    <font>
      <sz val="10"/>
      <color indexed="12"/>
      <name val="Arial"/>
      <family val="2"/>
    </font>
    <font>
      <sz val="8"/>
      <name val="Arial"/>
    </font>
    <font>
      <sz val="12"/>
      <name val="Arial"/>
      <family val="2"/>
    </font>
    <font>
      <b/>
      <sz val="8"/>
      <name val="Arial"/>
      <family val="2"/>
    </font>
    <font>
      <i/>
      <sz val="8"/>
      <color indexed="12"/>
      <name val="Arial"/>
      <family val="2"/>
    </font>
    <font>
      <i/>
      <sz val="10"/>
      <color indexed="12"/>
      <name val="Arial"/>
      <family val="2"/>
    </font>
    <font>
      <vertAlign val="superscript"/>
      <sz val="8"/>
      <color indexed="12"/>
      <name val="Wingdings"/>
    </font>
    <font>
      <b/>
      <sz val="12"/>
      <name val="Arial"/>
      <family val="2"/>
    </font>
    <font>
      <i/>
      <u/>
      <sz val="12"/>
      <name val="Arial"/>
      <family val="2"/>
    </font>
    <font>
      <i/>
      <sz val="12"/>
      <name val="Arial"/>
      <family val="2"/>
    </font>
    <font>
      <b/>
      <i/>
      <sz val="12"/>
      <name val="Arial"/>
      <family val="2"/>
    </font>
    <font>
      <sz val="12"/>
      <color indexed="10"/>
      <name val="Arial"/>
      <family val="2"/>
    </font>
    <font>
      <b/>
      <sz val="12"/>
      <color indexed="9"/>
      <name val="Arial"/>
      <family val="2"/>
    </font>
    <font>
      <sz val="12"/>
      <color indexed="9"/>
      <name val="Arial"/>
      <family val="2"/>
    </font>
    <font>
      <b/>
      <u/>
      <sz val="12"/>
      <name val="Arial"/>
      <family val="2"/>
    </font>
    <font>
      <u/>
      <sz val="12"/>
      <color indexed="9"/>
      <name val="Arial"/>
      <family val="2"/>
    </font>
    <font>
      <b/>
      <sz val="10"/>
      <color indexed="48"/>
      <name val="Arial"/>
      <family val="2"/>
    </font>
    <font>
      <b/>
      <i/>
      <sz val="10"/>
      <color indexed="48"/>
      <name val="Arial"/>
      <family val="2"/>
    </font>
    <font>
      <sz val="10"/>
      <color theme="0"/>
      <name val="Arial"/>
    </font>
  </fonts>
  <fills count="1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60"/>
        <bgColor indexed="64"/>
      </patternFill>
    </fill>
    <fill>
      <patternFill patternType="solid">
        <fgColor indexed="11"/>
        <bgColor indexed="64"/>
      </patternFill>
    </fill>
    <fill>
      <patternFill patternType="solid">
        <fgColor indexed="17"/>
        <bgColor indexed="64"/>
      </patternFill>
    </fill>
    <fill>
      <patternFill patternType="solid">
        <fgColor indexed="21"/>
        <bgColor indexed="64"/>
      </patternFill>
    </fill>
    <fill>
      <patternFill patternType="solid">
        <fgColor indexed="16"/>
        <bgColor indexed="64"/>
      </patternFill>
    </fill>
    <fill>
      <patternFill patternType="solid">
        <fgColor indexed="10"/>
        <bgColor indexed="64"/>
      </patternFill>
    </fill>
    <fill>
      <patternFill patternType="solid">
        <fgColor indexed="14"/>
        <bgColor indexed="64"/>
      </patternFill>
    </fill>
    <fill>
      <patternFill patternType="solid">
        <fgColor indexed="52"/>
        <bgColor indexed="64"/>
      </patternFill>
    </fill>
    <fill>
      <patternFill patternType="solid">
        <fgColor indexed="41"/>
        <bgColor indexed="64"/>
      </patternFill>
    </fill>
    <fill>
      <patternFill patternType="darkGrid">
        <bgColor indexed="22"/>
      </patternFill>
    </fill>
  </fills>
  <borders count="40">
    <border>
      <left/>
      <right/>
      <top/>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style="medium">
        <color auto="1"/>
      </left>
      <right style="medium">
        <color auto="1"/>
      </right>
      <top style="medium">
        <color auto="1"/>
      </top>
      <bottom style="medium">
        <color auto="1"/>
      </bottom>
      <diagonal/>
    </border>
    <border>
      <left style="dashDot">
        <color auto="1"/>
      </left>
      <right style="dashDot">
        <color auto="1"/>
      </right>
      <top style="medium">
        <color auto="1"/>
      </top>
      <bottom/>
      <diagonal/>
    </border>
    <border>
      <left style="medium">
        <color auto="1"/>
      </left>
      <right/>
      <top style="medium">
        <color auto="1"/>
      </top>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thick">
        <color indexed="52"/>
      </right>
      <top style="thin">
        <color indexed="52"/>
      </top>
      <bottom style="thin">
        <color indexed="52"/>
      </bottom>
      <diagonal/>
    </border>
    <border>
      <left style="thin">
        <color indexed="52"/>
      </left>
      <right style="medium">
        <color auto="1"/>
      </right>
      <top/>
      <bottom style="thin">
        <color indexed="52"/>
      </bottom>
      <diagonal/>
    </border>
    <border>
      <left style="thin">
        <color indexed="52"/>
      </left>
      <right style="medium">
        <color auto="1"/>
      </right>
      <top style="thin">
        <color indexed="52"/>
      </top>
      <bottom style="thin">
        <color indexed="52"/>
      </bottom>
      <diagonal/>
    </border>
    <border>
      <left/>
      <right style="medium">
        <color auto="1"/>
      </right>
      <top style="thin">
        <color indexed="52"/>
      </top>
      <bottom style="thin">
        <color indexed="52"/>
      </bottom>
      <diagonal/>
    </border>
    <border>
      <left/>
      <right style="medium">
        <color auto="1"/>
      </right>
      <top/>
      <bottom/>
      <diagonal/>
    </border>
    <border>
      <left/>
      <right style="medium">
        <color auto="1"/>
      </right>
      <top/>
      <bottom style="medium">
        <color auto="1"/>
      </bottom>
      <diagonal/>
    </border>
    <border>
      <left style="thin">
        <color indexed="52"/>
      </left>
      <right style="thin">
        <color indexed="52"/>
      </right>
      <top style="thin">
        <color indexed="52"/>
      </top>
      <bottom style="thin">
        <color indexed="52"/>
      </bottom>
      <diagonal/>
    </border>
    <border>
      <left/>
      <right style="thin">
        <color indexed="52"/>
      </right>
      <top style="thin">
        <color indexed="52"/>
      </top>
      <bottom style="thin">
        <color indexed="52"/>
      </bottom>
      <diagonal/>
    </border>
    <border>
      <left/>
      <right/>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indexed="34"/>
      </left>
      <right style="medium">
        <color indexed="34"/>
      </right>
      <top style="medium">
        <color auto="1"/>
      </top>
      <bottom style="medium">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3">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282">
    <xf numFmtId="0" fontId="0" fillId="0" borderId="0" xfId="0"/>
    <xf numFmtId="0" fontId="0" fillId="2" borderId="0" xfId="0" applyFill="1" applyProtection="1">
      <protection locked="0"/>
    </xf>
    <xf numFmtId="0" fontId="0" fillId="2" borderId="0" xfId="0" applyFill="1" applyBorder="1" applyProtection="1">
      <protection locked="0"/>
    </xf>
    <xf numFmtId="0" fontId="0" fillId="2" borderId="1" xfId="0" applyFill="1" applyBorder="1" applyProtection="1">
      <protection hidden="1"/>
    </xf>
    <xf numFmtId="0" fontId="0" fillId="2" borderId="2" xfId="0" applyFill="1" applyBorder="1" applyProtection="1">
      <protection hidden="1"/>
    </xf>
    <xf numFmtId="0" fontId="0" fillId="2" borderId="0" xfId="0" applyFill="1" applyBorder="1" applyProtection="1">
      <protection hidden="1"/>
    </xf>
    <xf numFmtId="0" fontId="3" fillId="3" borderId="3" xfId="0" applyFont="1" applyFill="1" applyBorder="1" applyProtection="1">
      <protection hidden="1"/>
    </xf>
    <xf numFmtId="0" fontId="0" fillId="3" borderId="4" xfId="0" applyFill="1" applyBorder="1" applyProtection="1">
      <protection hidden="1"/>
    </xf>
    <xf numFmtId="0" fontId="0" fillId="2" borderId="0" xfId="0" applyFill="1" applyProtection="1">
      <protection hidden="1"/>
    </xf>
    <xf numFmtId="0" fontId="3" fillId="2" borderId="0" xfId="0" applyFont="1" applyFill="1" applyBorder="1" applyAlignment="1" applyProtection="1">
      <alignment horizontal="left"/>
      <protection hidden="1"/>
    </xf>
    <xf numFmtId="0" fontId="3" fillId="2" borderId="0" xfId="0" applyFont="1" applyFill="1" applyBorder="1" applyAlignment="1" applyProtection="1">
      <alignment wrapText="1"/>
      <protection hidden="1"/>
    </xf>
    <xf numFmtId="0" fontId="0" fillId="4" borderId="4" xfId="0" applyFill="1" applyBorder="1" applyAlignment="1" applyProtection="1">
      <alignment horizontal="center"/>
      <protection locked="0"/>
    </xf>
    <xf numFmtId="0" fontId="0" fillId="4" borderId="5" xfId="0" applyFill="1" applyBorder="1" applyAlignment="1" applyProtection="1">
      <alignment horizontal="center"/>
      <protection locked="0"/>
    </xf>
    <xf numFmtId="0" fontId="0" fillId="2" borderId="0" xfId="0" applyFill="1" applyAlignment="1" applyProtection="1">
      <protection hidden="1"/>
    </xf>
    <xf numFmtId="0" fontId="2" fillId="3" borderId="6" xfId="0" applyFont="1" applyFill="1" applyBorder="1" applyAlignment="1" applyProtection="1">
      <protection hidden="1"/>
    </xf>
    <xf numFmtId="0" fontId="1" fillId="3" borderId="7" xfId="0" applyFont="1" applyFill="1" applyBorder="1" applyAlignment="1" applyProtection="1">
      <alignment wrapText="1"/>
      <protection hidden="1"/>
    </xf>
    <xf numFmtId="0" fontId="0" fillId="2" borderId="3" xfId="0" applyFill="1" applyBorder="1" applyProtection="1">
      <protection hidden="1"/>
    </xf>
    <xf numFmtId="0" fontId="0" fillId="2" borderId="8" xfId="0" applyFill="1" applyBorder="1" applyProtection="1">
      <protection hidden="1"/>
    </xf>
    <xf numFmtId="0" fontId="0" fillId="2" borderId="8" xfId="0" applyFill="1" applyBorder="1" applyAlignment="1" applyProtection="1">
      <alignment wrapText="1"/>
      <protection hidden="1"/>
    </xf>
    <xf numFmtId="0" fontId="5" fillId="2" borderId="9" xfId="0" applyFont="1" applyFill="1" applyBorder="1" applyAlignment="1" applyProtection="1">
      <alignment wrapText="1"/>
      <protection hidden="1"/>
    </xf>
    <xf numFmtId="0" fontId="0" fillId="3" borderId="5" xfId="0" applyFill="1" applyBorder="1" applyProtection="1">
      <protection hidden="1"/>
    </xf>
    <xf numFmtId="0" fontId="4" fillId="2" borderId="10" xfId="0" applyFont="1" applyFill="1" applyBorder="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4" borderId="0" xfId="0" applyFill="1" applyBorder="1" applyAlignment="1" applyProtection="1">
      <alignment horizontal="center"/>
      <protection locked="0"/>
    </xf>
    <xf numFmtId="0" fontId="0" fillId="2" borderId="13" xfId="0" applyFill="1" applyBorder="1" applyProtection="1">
      <protection locked="0"/>
    </xf>
    <xf numFmtId="1" fontId="0" fillId="2" borderId="0" xfId="0" applyNumberFormat="1" applyFill="1" applyBorder="1" applyProtection="1">
      <protection locked="0"/>
    </xf>
    <xf numFmtId="0" fontId="4" fillId="2" borderId="0" xfId="0" applyFont="1" applyFill="1" applyProtection="1">
      <protection locked="0"/>
    </xf>
    <xf numFmtId="0" fontId="0" fillId="2" borderId="0" xfId="0" applyNumberFormat="1" applyFill="1" applyAlignment="1" applyProtection="1">
      <alignment wrapText="1"/>
      <protection locked="0"/>
    </xf>
    <xf numFmtId="0" fontId="0" fillId="2" borderId="0" xfId="0" applyFill="1" applyAlignment="1" applyProtection="1">
      <alignment wrapText="1"/>
      <protection locked="0"/>
    </xf>
    <xf numFmtId="0" fontId="0" fillId="4" borderId="4" xfId="0" applyFill="1" applyBorder="1" applyAlignment="1" applyProtection="1">
      <alignment horizontal="center" wrapText="1"/>
      <protection locked="0"/>
    </xf>
    <xf numFmtId="0" fontId="2" fillId="3" borderId="6" xfId="0" applyFont="1" applyFill="1" applyBorder="1" applyProtection="1">
      <protection hidden="1"/>
    </xf>
    <xf numFmtId="0" fontId="3" fillId="5" borderId="3" xfId="0" applyFont="1" applyFill="1" applyBorder="1" applyProtection="1">
      <protection hidden="1"/>
    </xf>
    <xf numFmtId="0" fontId="13" fillId="5" borderId="4" xfId="0" applyFont="1" applyFill="1" applyBorder="1" applyProtection="1">
      <protection hidden="1"/>
    </xf>
    <xf numFmtId="0" fontId="13" fillId="5" borderId="14" xfId="0" applyFont="1" applyFill="1" applyBorder="1" applyProtection="1">
      <protection hidden="1"/>
    </xf>
    <xf numFmtId="0" fontId="6" fillId="2" borderId="0" xfId="0" applyFont="1" applyFill="1" applyBorder="1" applyProtection="1">
      <protection hidden="1"/>
    </xf>
    <xf numFmtId="1" fontId="4" fillId="2" borderId="0" xfId="0" applyNumberFormat="1" applyFont="1" applyFill="1" applyBorder="1" applyProtection="1">
      <protection hidden="1"/>
    </xf>
    <xf numFmtId="0" fontId="9" fillId="6" borderId="3" xfId="0" applyFont="1" applyFill="1" applyBorder="1" applyProtection="1">
      <protection hidden="1"/>
    </xf>
    <xf numFmtId="0" fontId="10" fillId="6" borderId="4" xfId="0" applyFont="1" applyFill="1" applyBorder="1" applyProtection="1">
      <protection hidden="1"/>
    </xf>
    <xf numFmtId="0" fontId="10" fillId="6" borderId="14" xfId="0" applyFont="1" applyFill="1" applyBorder="1" applyProtection="1">
      <protection hidden="1"/>
    </xf>
    <xf numFmtId="0" fontId="9" fillId="7" borderId="3" xfId="0" applyFont="1" applyFill="1" applyBorder="1" applyProtection="1">
      <protection hidden="1"/>
    </xf>
    <xf numFmtId="0" fontId="10" fillId="7" borderId="4" xfId="0" applyFont="1" applyFill="1" applyBorder="1" applyProtection="1">
      <protection hidden="1"/>
    </xf>
    <xf numFmtId="0" fontId="10" fillId="7" borderId="5" xfId="0" applyFont="1" applyFill="1" applyBorder="1" applyProtection="1">
      <protection hidden="1"/>
    </xf>
    <xf numFmtId="0" fontId="10" fillId="7" borderId="15" xfId="0" applyFont="1" applyFill="1" applyBorder="1" applyProtection="1">
      <protection hidden="1"/>
    </xf>
    <xf numFmtId="0" fontId="3" fillId="2" borderId="0" xfId="0" applyFont="1" applyFill="1" applyProtection="1">
      <protection hidden="1"/>
    </xf>
    <xf numFmtId="0" fontId="3" fillId="5" borderId="6" xfId="0" applyFont="1" applyFill="1" applyBorder="1" applyAlignment="1" applyProtection="1">
      <alignment wrapText="1"/>
      <protection hidden="1"/>
    </xf>
    <xf numFmtId="0" fontId="0" fillId="2" borderId="3" xfId="0" applyFill="1" applyBorder="1" applyAlignment="1" applyProtection="1">
      <alignment wrapText="1"/>
      <protection hidden="1"/>
    </xf>
    <xf numFmtId="0" fontId="0" fillId="2" borderId="1" xfId="0" applyFill="1" applyBorder="1" applyAlignment="1" applyProtection="1">
      <alignment wrapText="1"/>
      <protection hidden="1"/>
    </xf>
    <xf numFmtId="0" fontId="0" fillId="3" borderId="4" xfId="0" applyFill="1" applyBorder="1" applyAlignment="1" applyProtection="1">
      <alignment wrapText="1"/>
      <protection hidden="1"/>
    </xf>
    <xf numFmtId="0" fontId="5" fillId="2" borderId="6" xfId="0" applyFont="1" applyFill="1" applyBorder="1" applyAlignment="1" applyProtection="1">
      <alignment wrapText="1"/>
      <protection hidden="1"/>
    </xf>
    <xf numFmtId="0" fontId="5" fillId="2" borderId="8" xfId="0" applyFont="1" applyFill="1" applyBorder="1" applyAlignment="1" applyProtection="1">
      <alignment wrapText="1"/>
      <protection hidden="1"/>
    </xf>
    <xf numFmtId="0" fontId="5" fillId="2" borderId="15" xfId="0" applyFont="1" applyFill="1" applyBorder="1" applyAlignment="1" applyProtection="1">
      <alignment wrapText="1"/>
      <protection hidden="1"/>
    </xf>
    <xf numFmtId="0" fontId="9" fillId="6" borderId="6" xfId="0" applyFont="1" applyFill="1" applyBorder="1" applyAlignment="1" applyProtection="1">
      <alignment wrapText="1"/>
      <protection hidden="1"/>
    </xf>
    <xf numFmtId="1" fontId="0" fillId="3" borderId="5" xfId="0" applyNumberFormat="1" applyFill="1" applyBorder="1" applyProtection="1">
      <protection hidden="1"/>
    </xf>
    <xf numFmtId="1" fontId="0" fillId="3" borderId="4" xfId="0" applyNumberFormat="1" applyFill="1" applyBorder="1" applyAlignment="1" applyProtection="1">
      <alignment wrapText="1"/>
      <protection hidden="1"/>
    </xf>
    <xf numFmtId="1" fontId="0" fillId="3" borderId="4" xfId="0" applyNumberFormat="1" applyFill="1" applyBorder="1" applyProtection="1">
      <protection hidden="1"/>
    </xf>
    <xf numFmtId="1" fontId="4" fillId="2" borderId="0" xfId="0" applyNumberFormat="1" applyFont="1" applyFill="1" applyProtection="1">
      <protection hidden="1"/>
    </xf>
    <xf numFmtId="1" fontId="0" fillId="2" borderId="0" xfId="0" applyNumberFormat="1" applyFill="1" applyBorder="1" applyProtection="1">
      <protection hidden="1"/>
    </xf>
    <xf numFmtId="0" fontId="0" fillId="2" borderId="16" xfId="0" applyFill="1" applyBorder="1" applyProtection="1">
      <protection hidden="1"/>
    </xf>
    <xf numFmtId="0" fontId="0" fillId="2" borderId="17" xfId="0" applyFill="1" applyBorder="1" applyProtection="1">
      <protection hidden="1"/>
    </xf>
    <xf numFmtId="0" fontId="0" fillId="2" borderId="18" xfId="0" applyFill="1" applyBorder="1" applyProtection="1">
      <protection hidden="1"/>
    </xf>
    <xf numFmtId="0" fontId="0" fillId="2" borderId="19" xfId="0" applyFill="1" applyBorder="1" applyProtection="1">
      <protection hidden="1"/>
    </xf>
    <xf numFmtId="0" fontId="0" fillId="2" borderId="20" xfId="0" applyFill="1" applyBorder="1" applyProtection="1">
      <protection hidden="1"/>
    </xf>
    <xf numFmtId="0" fontId="9" fillId="7" borderId="6" xfId="0" applyFont="1" applyFill="1" applyBorder="1" applyAlignment="1" applyProtection="1">
      <alignment wrapText="1"/>
      <protection hidden="1"/>
    </xf>
    <xf numFmtId="0" fontId="12" fillId="2" borderId="0" xfId="0" applyFont="1" applyFill="1" applyProtection="1">
      <protection locked="0"/>
    </xf>
    <xf numFmtId="1" fontId="0" fillId="2" borderId="0" xfId="0" applyNumberFormat="1" applyFill="1" applyProtection="1">
      <protection locked="0"/>
    </xf>
    <xf numFmtId="1" fontId="0" fillId="0" borderId="0" xfId="0" applyNumberFormat="1" applyFill="1" applyProtection="1">
      <protection locked="0"/>
    </xf>
    <xf numFmtId="0" fontId="9" fillId="8" borderId="3" xfId="0" applyFont="1" applyFill="1" applyBorder="1" applyProtection="1">
      <protection hidden="1"/>
    </xf>
    <xf numFmtId="0" fontId="9" fillId="9" borderId="3" xfId="0" applyFont="1" applyFill="1" applyBorder="1" applyProtection="1">
      <protection hidden="1"/>
    </xf>
    <xf numFmtId="0" fontId="9" fillId="10" borderId="3" xfId="0" applyFont="1" applyFill="1" applyBorder="1" applyProtection="1">
      <protection hidden="1"/>
    </xf>
    <xf numFmtId="0" fontId="9" fillId="8" borderId="6" xfId="0" applyFont="1" applyFill="1" applyBorder="1" applyAlignment="1" applyProtection="1">
      <alignment wrapText="1"/>
      <protection hidden="1"/>
    </xf>
    <xf numFmtId="0" fontId="10" fillId="8" borderId="4" xfId="0" applyFont="1" applyFill="1" applyBorder="1" applyProtection="1">
      <protection hidden="1"/>
    </xf>
    <xf numFmtId="0" fontId="10" fillId="8" borderId="14" xfId="0" applyFont="1" applyFill="1" applyBorder="1" applyProtection="1">
      <protection hidden="1"/>
    </xf>
    <xf numFmtId="0" fontId="10" fillId="9" borderId="4" xfId="0" applyFont="1" applyFill="1" applyBorder="1" applyProtection="1">
      <protection hidden="1"/>
    </xf>
    <xf numFmtId="0" fontId="10" fillId="9" borderId="14" xfId="0" applyFont="1" applyFill="1" applyBorder="1" applyProtection="1">
      <protection hidden="1"/>
    </xf>
    <xf numFmtId="0" fontId="10" fillId="10" borderId="4" xfId="0" applyFont="1" applyFill="1" applyBorder="1" applyProtection="1">
      <protection hidden="1"/>
    </xf>
    <xf numFmtId="0" fontId="10" fillId="10" borderId="5" xfId="0" applyFont="1" applyFill="1" applyBorder="1" applyProtection="1">
      <protection hidden="1"/>
    </xf>
    <xf numFmtId="0" fontId="10" fillId="10" borderId="15" xfId="0" applyFont="1" applyFill="1" applyBorder="1" applyProtection="1">
      <protection hidden="1"/>
    </xf>
    <xf numFmtId="0" fontId="0" fillId="2" borderId="13" xfId="0" applyFill="1" applyBorder="1" applyProtection="1">
      <protection hidden="1"/>
    </xf>
    <xf numFmtId="0" fontId="9" fillId="9" borderId="6" xfId="0" applyFont="1" applyFill="1" applyBorder="1" applyAlignment="1" applyProtection="1">
      <alignment wrapText="1"/>
      <protection hidden="1"/>
    </xf>
    <xf numFmtId="1" fontId="0" fillId="2" borderId="0" xfId="0" applyNumberFormat="1" applyFill="1" applyProtection="1">
      <protection hidden="1"/>
    </xf>
    <xf numFmtId="0" fontId="9" fillId="10" borderId="6" xfId="0" applyFont="1" applyFill="1" applyBorder="1" applyAlignment="1" applyProtection="1">
      <alignment wrapText="1"/>
      <protection hidden="1"/>
    </xf>
    <xf numFmtId="0" fontId="0" fillId="2" borderId="0" xfId="0" applyFill="1" applyBorder="1" applyAlignment="1" applyProtection="1">
      <alignment wrapText="1"/>
      <protection locked="0"/>
    </xf>
    <xf numFmtId="0" fontId="0" fillId="2" borderId="0" xfId="0" applyFill="1" applyBorder="1" applyAlignment="1" applyProtection="1">
      <alignment horizontal="center"/>
      <protection locked="0"/>
    </xf>
    <xf numFmtId="0" fontId="0" fillId="2" borderId="0" xfId="0" applyFill="1" applyBorder="1" applyAlignment="1" applyProtection="1">
      <alignment horizontal="left" wrapText="1"/>
      <protection locked="0"/>
    </xf>
    <xf numFmtId="0" fontId="0" fillId="0" borderId="0" xfId="0" applyBorder="1" applyAlignment="1" applyProtection="1">
      <alignment wrapText="1"/>
      <protection locked="0"/>
    </xf>
    <xf numFmtId="0" fontId="9" fillId="11" borderId="6" xfId="0" applyFont="1" applyFill="1" applyBorder="1" applyAlignment="1" applyProtection="1">
      <alignment wrapText="1"/>
      <protection hidden="1"/>
    </xf>
    <xf numFmtId="0" fontId="9" fillId="12" borderId="6" xfId="0" applyFont="1" applyFill="1" applyBorder="1" applyAlignment="1" applyProtection="1">
      <alignment wrapText="1"/>
      <protection hidden="1"/>
    </xf>
    <xf numFmtId="0" fontId="0" fillId="2" borderId="2" xfId="0" applyFill="1" applyBorder="1" applyAlignment="1" applyProtection="1">
      <alignment wrapText="1"/>
      <protection hidden="1"/>
    </xf>
    <xf numFmtId="1" fontId="0" fillId="3" borderId="14" xfId="0" applyNumberFormat="1" applyFill="1" applyBorder="1" applyProtection="1">
      <protection hidden="1"/>
    </xf>
    <xf numFmtId="0" fontId="3" fillId="13" borderId="6" xfId="0" applyFont="1" applyFill="1" applyBorder="1" applyAlignment="1" applyProtection="1">
      <alignment wrapText="1"/>
      <protection hidden="1"/>
    </xf>
    <xf numFmtId="0" fontId="3" fillId="14" borderId="6" xfId="0" applyFont="1" applyFill="1" applyBorder="1" applyAlignment="1" applyProtection="1">
      <alignment wrapText="1"/>
      <protection hidden="1"/>
    </xf>
    <xf numFmtId="0" fontId="3" fillId="15" borderId="6" xfId="0" applyFont="1" applyFill="1" applyBorder="1" applyAlignment="1" applyProtection="1">
      <alignment wrapText="1"/>
      <protection hidden="1"/>
    </xf>
    <xf numFmtId="0" fontId="0" fillId="15" borderId="21" xfId="0" applyFill="1" applyBorder="1" applyAlignment="1" applyProtection="1">
      <alignment wrapText="1"/>
      <protection hidden="1"/>
    </xf>
    <xf numFmtId="0" fontId="0" fillId="15" borderId="22" xfId="0" applyFill="1" applyBorder="1" applyAlignment="1" applyProtection="1">
      <alignment wrapText="1"/>
      <protection hidden="1"/>
    </xf>
    <xf numFmtId="0" fontId="3" fillId="3" borderId="6" xfId="0" applyFont="1" applyFill="1" applyBorder="1" applyAlignment="1" applyProtection="1">
      <alignment wrapText="1"/>
      <protection hidden="1"/>
    </xf>
    <xf numFmtId="0" fontId="0" fillId="3" borderId="23" xfId="0" applyFill="1" applyBorder="1" applyAlignment="1" applyProtection="1">
      <alignment vertical="center" wrapText="1"/>
      <protection hidden="1"/>
    </xf>
    <xf numFmtId="0" fontId="0" fillId="2" borderId="0" xfId="0" applyFill="1" applyBorder="1" applyAlignment="1" applyProtection="1">
      <alignment vertical="center" wrapText="1"/>
      <protection hidden="1"/>
    </xf>
    <xf numFmtId="0" fontId="0" fillId="3" borderId="22" xfId="0" applyFill="1" applyBorder="1" applyAlignment="1" applyProtection="1">
      <alignment vertical="center" wrapText="1"/>
      <protection hidden="1"/>
    </xf>
    <xf numFmtId="0" fontId="1" fillId="3" borderId="22" xfId="0" applyFont="1" applyFill="1" applyBorder="1" applyAlignment="1" applyProtection="1">
      <alignment vertical="center" wrapText="1"/>
      <protection hidden="1"/>
    </xf>
    <xf numFmtId="0" fontId="0" fillId="3" borderId="22" xfId="0" applyFill="1" applyBorder="1" applyAlignment="1" applyProtection="1">
      <alignment wrapText="1"/>
      <protection hidden="1"/>
    </xf>
    <xf numFmtId="0" fontId="1" fillId="2" borderId="0" xfId="0" applyFont="1" applyFill="1" applyBorder="1" applyAlignment="1" applyProtection="1">
      <alignment vertical="center"/>
      <protection hidden="1"/>
    </xf>
    <xf numFmtId="0" fontId="1" fillId="2" borderId="0" xfId="0" applyFont="1" applyFill="1" applyBorder="1" applyAlignment="1" applyProtection="1">
      <alignment vertical="center" wrapText="1"/>
      <protection hidden="1"/>
    </xf>
    <xf numFmtId="0" fontId="0" fillId="2" borderId="0" xfId="0" applyFill="1" applyBorder="1" applyAlignment="1" applyProtection="1">
      <alignment wrapText="1"/>
      <protection hidden="1"/>
    </xf>
    <xf numFmtId="0" fontId="13" fillId="3" borderId="4" xfId="0" applyFont="1" applyFill="1" applyBorder="1" applyProtection="1">
      <protection hidden="1"/>
    </xf>
    <xf numFmtId="0" fontId="13" fillId="3" borderId="14" xfId="0" applyFont="1" applyFill="1" applyBorder="1" applyProtection="1">
      <protection hidden="1"/>
    </xf>
    <xf numFmtId="0" fontId="13" fillId="2" borderId="0" xfId="0" applyFont="1" applyFill="1" applyProtection="1">
      <protection hidden="1"/>
    </xf>
    <xf numFmtId="0" fontId="13" fillId="2" borderId="0" xfId="0" applyFont="1" applyFill="1" applyBorder="1" applyProtection="1">
      <protection hidden="1"/>
    </xf>
    <xf numFmtId="0" fontId="3" fillId="2" borderId="0" xfId="0" applyFont="1" applyFill="1" applyBorder="1" applyAlignment="1" applyProtection="1">
      <alignment vertical="center" wrapText="1"/>
      <protection hidden="1"/>
    </xf>
    <xf numFmtId="0" fontId="2" fillId="2" borderId="0" xfId="0" applyFont="1" applyFill="1" applyAlignment="1" applyProtection="1">
      <alignment wrapText="1"/>
      <protection hidden="1"/>
    </xf>
    <xf numFmtId="0" fontId="22" fillId="2" borderId="1" xfId="0" applyFont="1" applyFill="1" applyBorder="1" applyProtection="1">
      <protection hidden="1"/>
    </xf>
    <xf numFmtId="0" fontId="16" fillId="2" borderId="1" xfId="0" applyFont="1" applyFill="1" applyBorder="1" applyProtection="1">
      <protection hidden="1"/>
    </xf>
    <xf numFmtId="0" fontId="23" fillId="2" borderId="1" xfId="0" applyFont="1" applyFill="1" applyBorder="1" applyAlignment="1" applyProtection="1">
      <alignment horizontal="right"/>
      <protection hidden="1"/>
    </xf>
    <xf numFmtId="0" fontId="21" fillId="2" borderId="1" xfId="0" applyFont="1" applyFill="1" applyBorder="1" applyProtection="1">
      <protection hidden="1"/>
    </xf>
    <xf numFmtId="0" fontId="22" fillId="4" borderId="24" xfId="0" applyFont="1" applyFill="1" applyBorder="1" applyProtection="1">
      <protection locked="0"/>
    </xf>
    <xf numFmtId="0" fontId="23" fillId="4" borderId="24" xfId="0" applyFont="1" applyFill="1" applyBorder="1" applyProtection="1">
      <protection locked="0"/>
    </xf>
    <xf numFmtId="0" fontId="24" fillId="2" borderId="1" xfId="0" applyFont="1" applyFill="1" applyBorder="1" applyAlignment="1" applyProtection="1">
      <alignment horizontal="right"/>
      <protection hidden="1"/>
    </xf>
    <xf numFmtId="0" fontId="21" fillId="2" borderId="2" xfId="0" applyFont="1" applyFill="1" applyBorder="1" applyProtection="1">
      <protection hidden="1"/>
    </xf>
    <xf numFmtId="0" fontId="28" fillId="2" borderId="1" xfId="0" applyFont="1" applyFill="1" applyBorder="1" applyProtection="1">
      <protection hidden="1"/>
    </xf>
    <xf numFmtId="0" fontId="22" fillId="4" borderId="24" xfId="0" applyFont="1" applyFill="1" applyBorder="1" applyAlignment="1" applyProtection="1">
      <alignment wrapText="1"/>
      <protection locked="0"/>
    </xf>
    <xf numFmtId="0" fontId="16" fillId="2" borderId="2" xfId="0" applyFont="1" applyFill="1" applyBorder="1" applyProtection="1">
      <protection hidden="1"/>
    </xf>
    <xf numFmtId="43" fontId="16" fillId="4" borderId="25" xfId="1" applyFont="1" applyFill="1" applyBorder="1" applyProtection="1">
      <protection locked="0"/>
    </xf>
    <xf numFmtId="43" fontId="16" fillId="4" borderId="26" xfId="1" applyFont="1" applyFill="1" applyBorder="1" applyProtection="1">
      <protection locked="0"/>
    </xf>
    <xf numFmtId="43" fontId="16" fillId="4" borderId="27" xfId="1" applyFont="1" applyFill="1" applyBorder="1" applyProtection="1">
      <protection locked="0"/>
    </xf>
    <xf numFmtId="43" fontId="21" fillId="2" borderId="28" xfId="1" applyFont="1" applyFill="1" applyBorder="1" applyProtection="1">
      <protection hidden="1"/>
    </xf>
    <xf numFmtId="43" fontId="16" fillId="2" borderId="28" xfId="1" applyFont="1" applyFill="1" applyBorder="1" applyProtection="1">
      <protection hidden="1"/>
    </xf>
    <xf numFmtId="43" fontId="21" fillId="2" borderId="29" xfId="1" applyFont="1" applyFill="1" applyBorder="1" applyProtection="1">
      <protection hidden="1"/>
    </xf>
    <xf numFmtId="43" fontId="25" fillId="2" borderId="28" xfId="1" applyFont="1" applyFill="1" applyBorder="1" applyProtection="1">
      <protection hidden="1"/>
    </xf>
    <xf numFmtId="43" fontId="16" fillId="2" borderId="0" xfId="1" applyFont="1" applyFill="1" applyBorder="1" applyProtection="1">
      <protection hidden="1"/>
    </xf>
    <xf numFmtId="43" fontId="16" fillId="4" borderId="30" xfId="1" applyFont="1" applyFill="1" applyBorder="1" applyAlignment="1" applyProtection="1">
      <alignment horizontal="center"/>
      <protection locked="0"/>
    </xf>
    <xf numFmtId="43" fontId="16" fillId="4" borderId="31" xfId="1" applyFont="1" applyFill="1" applyBorder="1" applyAlignment="1" applyProtection="1">
      <alignment horizontal="center"/>
      <protection locked="0"/>
    </xf>
    <xf numFmtId="43" fontId="21" fillId="2" borderId="0" xfId="1" applyFont="1" applyFill="1" applyBorder="1" applyProtection="1">
      <protection hidden="1"/>
    </xf>
    <xf numFmtId="43" fontId="16" fillId="2" borderId="32" xfId="1" applyFont="1" applyFill="1" applyBorder="1" applyProtection="1">
      <protection hidden="1"/>
    </xf>
    <xf numFmtId="43" fontId="21" fillId="2" borderId="6" xfId="1" applyFont="1" applyFill="1" applyBorder="1" applyProtection="1">
      <protection hidden="1"/>
    </xf>
    <xf numFmtId="0" fontId="30" fillId="2" borderId="0" xfId="0" applyFont="1" applyFill="1" applyBorder="1" applyAlignment="1" applyProtection="1">
      <alignment wrapText="1"/>
      <protection hidden="1"/>
    </xf>
    <xf numFmtId="0" fontId="31" fillId="2" borderId="6" xfId="0" applyFont="1" applyFill="1" applyBorder="1" applyAlignment="1" applyProtection="1">
      <alignment wrapText="1"/>
      <protection hidden="1"/>
    </xf>
    <xf numFmtId="0" fontId="13" fillId="15" borderId="33" xfId="2" applyFont="1" applyFill="1" applyBorder="1" applyAlignment="1" applyProtection="1">
      <alignment wrapText="1"/>
      <protection hidden="1"/>
    </xf>
    <xf numFmtId="0" fontId="13" fillId="2" borderId="0" xfId="0" applyFont="1" applyFill="1" applyBorder="1" applyAlignment="1" applyProtection="1">
      <alignment wrapText="1"/>
      <protection locked="0"/>
    </xf>
    <xf numFmtId="0" fontId="8" fillId="2" borderId="0" xfId="2" applyFill="1" applyBorder="1" applyAlignment="1" applyProtection="1">
      <alignment wrapText="1"/>
      <protection locked="0"/>
    </xf>
    <xf numFmtId="49" fontId="8" fillId="2" borderId="0" xfId="2" applyNumberFormat="1" applyFill="1" applyBorder="1" applyAlignment="1" applyProtection="1">
      <alignment wrapText="1"/>
      <protection locked="0"/>
    </xf>
    <xf numFmtId="0" fontId="13" fillId="2" borderId="0" xfId="0" applyFont="1" applyFill="1" applyBorder="1" applyAlignment="1" applyProtection="1">
      <alignment wrapText="1"/>
    </xf>
    <xf numFmtId="0" fontId="15" fillId="2" borderId="0" xfId="0" applyFont="1" applyFill="1" applyAlignment="1" applyProtection="1">
      <alignment horizontal="center"/>
    </xf>
    <xf numFmtId="0" fontId="0" fillId="2" borderId="0" xfId="0" applyFill="1" applyProtection="1"/>
    <xf numFmtId="0" fontId="17" fillId="2" borderId="0" xfId="0" applyFont="1" applyFill="1" applyAlignment="1" applyProtection="1">
      <alignment horizontal="center"/>
    </xf>
    <xf numFmtId="0" fontId="17" fillId="2" borderId="6" xfId="0" applyFont="1" applyFill="1" applyBorder="1" applyAlignment="1" applyProtection="1">
      <alignment vertical="top" wrapText="1"/>
    </xf>
    <xf numFmtId="0" fontId="17" fillId="2" borderId="14" xfId="0" applyFont="1" applyFill="1" applyBorder="1" applyAlignment="1" applyProtection="1">
      <alignment vertical="top" wrapText="1"/>
    </xf>
    <xf numFmtId="0" fontId="15" fillId="2" borderId="9" xfId="0" applyFont="1" applyFill="1" applyBorder="1" applyAlignment="1" applyProtection="1">
      <alignment vertical="top" wrapText="1"/>
    </xf>
    <xf numFmtId="0" fontId="15" fillId="2" borderId="34" xfId="0" applyFont="1" applyFill="1" applyBorder="1" applyAlignment="1" applyProtection="1">
      <alignment vertical="top" wrapText="1"/>
    </xf>
    <xf numFmtId="0" fontId="15" fillId="2" borderId="34" xfId="0" applyFont="1" applyFill="1" applyBorder="1" applyAlignment="1" applyProtection="1">
      <alignment horizontal="left" vertical="top" wrapText="1"/>
    </xf>
    <xf numFmtId="0" fontId="15" fillId="2" borderId="29" xfId="0" applyFont="1" applyFill="1" applyBorder="1" applyAlignment="1" applyProtection="1">
      <alignment vertical="top" wrapText="1"/>
    </xf>
    <xf numFmtId="0" fontId="15" fillId="2" borderId="35" xfId="0" applyFont="1" applyFill="1" applyBorder="1" applyAlignment="1" applyProtection="1">
      <alignment horizontal="left" vertical="top" wrapText="1"/>
    </xf>
    <xf numFmtId="0" fontId="15" fillId="2" borderId="28" xfId="0" applyFont="1" applyFill="1" applyBorder="1" applyAlignment="1" applyProtection="1">
      <alignment vertical="top" wrapText="1"/>
    </xf>
    <xf numFmtId="0" fontId="0" fillId="2" borderId="6" xfId="0" applyFill="1" applyBorder="1" applyProtection="1"/>
    <xf numFmtId="0" fontId="15" fillId="2" borderId="35" xfId="0" applyFont="1" applyFill="1" applyBorder="1" applyAlignment="1" applyProtection="1">
      <alignment vertical="top" wrapText="1"/>
    </xf>
    <xf numFmtId="0" fontId="15" fillId="2" borderId="0" xfId="0" applyFont="1" applyFill="1" applyProtection="1"/>
    <xf numFmtId="0" fontId="16" fillId="2" borderId="0" xfId="0" applyFont="1" applyFill="1" applyProtection="1"/>
    <xf numFmtId="0" fontId="0" fillId="0" borderId="6" xfId="0" applyBorder="1" applyAlignment="1" applyProtection="1">
      <alignment wrapText="1"/>
    </xf>
    <xf numFmtId="0" fontId="5" fillId="0" borderId="0" xfId="0" applyFont="1" applyAlignment="1" applyProtection="1">
      <alignment wrapText="1"/>
    </xf>
    <xf numFmtId="0" fontId="0" fillId="0" borderId="0" xfId="0" applyProtection="1"/>
    <xf numFmtId="0" fontId="0" fillId="2" borderId="0" xfId="0" applyFill="1" applyBorder="1" applyAlignment="1" applyProtection="1">
      <alignment wrapText="1"/>
    </xf>
    <xf numFmtId="0" fontId="0" fillId="2" borderId="0" xfId="0" applyFill="1"/>
    <xf numFmtId="0" fontId="4" fillId="2" borderId="0" xfId="0" applyFont="1" applyFill="1" applyBorder="1" applyAlignment="1" applyProtection="1">
      <alignment vertical="center" wrapText="1"/>
      <protection hidden="1"/>
    </xf>
    <xf numFmtId="0" fontId="0" fillId="2" borderId="36" xfId="0" applyFill="1" applyBorder="1" applyAlignment="1" applyProtection="1">
      <alignment horizontal="center"/>
    </xf>
    <xf numFmtId="0" fontId="13" fillId="2" borderId="13" xfId="0" applyFont="1" applyFill="1" applyBorder="1" applyAlignment="1" applyProtection="1">
      <alignment wrapText="1"/>
      <protection locked="0"/>
    </xf>
    <xf numFmtId="2" fontId="0" fillId="3" borderId="14" xfId="0" applyNumberFormat="1" applyFill="1" applyBorder="1" applyProtection="1">
      <protection hidden="1"/>
    </xf>
    <xf numFmtId="2" fontId="0" fillId="2" borderId="6" xfId="0" applyNumberFormat="1" applyFill="1" applyBorder="1" applyProtection="1">
      <protection hidden="1"/>
    </xf>
    <xf numFmtId="2" fontId="0" fillId="2" borderId="35" xfId="0" applyNumberFormat="1" applyFill="1" applyBorder="1" applyProtection="1">
      <protection hidden="1"/>
    </xf>
    <xf numFmtId="2" fontId="0" fillId="2" borderId="0" xfId="0" applyNumberFormat="1" applyFill="1" applyProtection="1">
      <protection locked="0"/>
    </xf>
    <xf numFmtId="2" fontId="0" fillId="3" borderId="5" xfId="0" applyNumberFormat="1" applyFill="1" applyBorder="1" applyProtection="1">
      <protection hidden="1"/>
    </xf>
    <xf numFmtId="2" fontId="0" fillId="2" borderId="5" xfId="0" applyNumberFormat="1" applyFill="1" applyBorder="1" applyProtection="1">
      <protection hidden="1"/>
    </xf>
    <xf numFmtId="2" fontId="0" fillId="3" borderId="4" xfId="0" applyNumberFormat="1" applyFill="1" applyBorder="1" applyProtection="1">
      <protection hidden="1"/>
    </xf>
    <xf numFmtId="2" fontId="0" fillId="2" borderId="4" xfId="0" applyNumberFormat="1" applyFill="1" applyBorder="1" applyProtection="1">
      <protection hidden="1"/>
    </xf>
    <xf numFmtId="2" fontId="0" fillId="2" borderId="1" xfId="0" applyNumberFormat="1" applyFill="1" applyBorder="1" applyProtection="1">
      <protection hidden="1"/>
    </xf>
    <xf numFmtId="2" fontId="0" fillId="2" borderId="0" xfId="0" applyNumberFormat="1" applyFill="1" applyProtection="1">
      <protection hidden="1"/>
    </xf>
    <xf numFmtId="2" fontId="0" fillId="2" borderId="28" xfId="0" applyNumberFormat="1" applyFill="1" applyBorder="1" applyProtection="1">
      <protection hidden="1"/>
    </xf>
    <xf numFmtId="2" fontId="0" fillId="2" borderId="14" xfId="0" applyNumberFormat="1" applyFill="1" applyBorder="1" applyAlignment="1" applyProtection="1">
      <alignment wrapText="1"/>
      <protection hidden="1"/>
    </xf>
    <xf numFmtId="2" fontId="0" fillId="2" borderId="3" xfId="0" applyNumberFormat="1" applyFill="1" applyBorder="1" applyProtection="1">
      <protection hidden="1"/>
    </xf>
    <xf numFmtId="2" fontId="0" fillId="2" borderId="34" xfId="0" applyNumberFormat="1" applyFill="1" applyBorder="1" applyProtection="1">
      <protection hidden="1"/>
    </xf>
    <xf numFmtId="2" fontId="0" fillId="2" borderId="8" xfId="0" applyNumberFormat="1" applyFill="1" applyBorder="1" applyProtection="1">
      <protection hidden="1"/>
    </xf>
    <xf numFmtId="2" fontId="0" fillId="2" borderId="0" xfId="0" applyNumberFormat="1" applyFill="1" applyBorder="1" applyProtection="1">
      <protection hidden="1"/>
    </xf>
    <xf numFmtId="2" fontId="0" fillId="2" borderId="6" xfId="0" applyNumberFormat="1" applyFill="1" applyBorder="1" applyAlignment="1" applyProtection="1">
      <alignment wrapText="1"/>
      <protection hidden="1"/>
    </xf>
    <xf numFmtId="2" fontId="0" fillId="2" borderId="14" xfId="0" applyNumberFormat="1" applyFill="1" applyBorder="1" applyProtection="1">
      <protection hidden="1"/>
    </xf>
    <xf numFmtId="2" fontId="4" fillId="2" borderId="5" xfId="0" applyNumberFormat="1" applyFont="1" applyFill="1" applyBorder="1" applyProtection="1">
      <protection hidden="1"/>
    </xf>
    <xf numFmtId="2" fontId="0" fillId="2" borderId="4" xfId="0" applyNumberFormat="1" applyFill="1" applyBorder="1" applyAlignment="1" applyProtection="1">
      <alignment horizontal="left" wrapText="1"/>
      <protection hidden="1"/>
    </xf>
    <xf numFmtId="2" fontId="0" fillId="2" borderId="4" xfId="0" applyNumberFormat="1" applyFill="1" applyBorder="1" applyAlignment="1" applyProtection="1">
      <alignment wrapText="1"/>
      <protection hidden="1"/>
    </xf>
    <xf numFmtId="2" fontId="4" fillId="2" borderId="4" xfId="0" applyNumberFormat="1" applyFont="1" applyFill="1" applyBorder="1" applyProtection="1">
      <protection hidden="1"/>
    </xf>
    <xf numFmtId="2" fontId="5" fillId="2" borderId="9" xfId="0" applyNumberFormat="1" applyFont="1" applyFill="1" applyBorder="1" applyAlignment="1" applyProtection="1">
      <alignment wrapText="1"/>
      <protection hidden="1"/>
    </xf>
    <xf numFmtId="2" fontId="5" fillId="2" borderId="15" xfId="0" applyNumberFormat="1" applyFont="1" applyFill="1" applyBorder="1" applyAlignment="1" applyProtection="1">
      <alignment wrapText="1"/>
      <protection hidden="1"/>
    </xf>
    <xf numFmtId="2" fontId="5" fillId="2" borderId="28" xfId="0" applyNumberFormat="1" applyFont="1" applyFill="1" applyBorder="1" applyAlignment="1" applyProtection="1">
      <alignment wrapText="1"/>
      <protection hidden="1"/>
    </xf>
    <xf numFmtId="2" fontId="5" fillId="2" borderId="35" xfId="0" applyNumberFormat="1" applyFont="1" applyFill="1" applyBorder="1" applyAlignment="1" applyProtection="1">
      <alignment horizontal="left" wrapText="1"/>
      <protection hidden="1"/>
    </xf>
    <xf numFmtId="2" fontId="0" fillId="2" borderId="9" xfId="0" applyNumberFormat="1" applyFill="1" applyBorder="1" applyProtection="1">
      <protection hidden="1"/>
    </xf>
    <xf numFmtId="2" fontId="0" fillId="16" borderId="35" xfId="0" applyNumberFormat="1" applyFill="1" applyBorder="1" applyProtection="1">
      <protection hidden="1"/>
    </xf>
    <xf numFmtId="2" fontId="5" fillId="2" borderId="6" xfId="0" applyNumberFormat="1" applyFont="1" applyFill="1" applyBorder="1" applyAlignment="1" applyProtection="1">
      <alignment wrapText="1"/>
      <protection hidden="1"/>
    </xf>
    <xf numFmtId="2" fontId="0" fillId="3" borderId="4" xfId="0" applyNumberFormat="1" applyFill="1" applyBorder="1" applyAlignment="1" applyProtection="1">
      <alignment wrapText="1"/>
      <protection hidden="1"/>
    </xf>
    <xf numFmtId="2" fontId="0" fillId="2" borderId="9" xfId="0" applyNumberFormat="1" applyFill="1" applyBorder="1" applyAlignment="1" applyProtection="1">
      <alignment wrapText="1"/>
      <protection hidden="1"/>
    </xf>
    <xf numFmtId="2" fontId="0" fillId="3" borderId="32" xfId="0" applyNumberFormat="1" applyFill="1" applyBorder="1" applyProtection="1">
      <protection hidden="1"/>
    </xf>
    <xf numFmtId="2" fontId="0" fillId="2" borderId="32" xfId="0" applyNumberFormat="1" applyFill="1" applyBorder="1" applyProtection="1">
      <protection hidden="1"/>
    </xf>
    <xf numFmtId="2" fontId="5" fillId="2" borderId="9" xfId="0" applyNumberFormat="1" applyFont="1" applyFill="1" applyBorder="1" applyProtection="1">
      <protection hidden="1"/>
    </xf>
    <xf numFmtId="2" fontId="5" fillId="2" borderId="35" xfId="0" applyNumberFormat="1" applyFont="1" applyFill="1" applyBorder="1" applyAlignment="1" applyProtection="1">
      <alignment wrapText="1"/>
      <protection hidden="1"/>
    </xf>
    <xf numFmtId="2" fontId="0" fillId="2" borderId="15" xfId="0" applyNumberFormat="1" applyFill="1" applyBorder="1" applyProtection="1">
      <protection hidden="1"/>
    </xf>
    <xf numFmtId="2" fontId="0" fillId="0" borderId="6" xfId="0" applyNumberFormat="1" applyBorder="1" applyAlignment="1" applyProtection="1">
      <alignment wrapText="1"/>
      <protection hidden="1"/>
    </xf>
    <xf numFmtId="2" fontId="0" fillId="0" borderId="4" xfId="0" applyNumberFormat="1" applyBorder="1" applyAlignment="1" applyProtection="1">
      <alignment wrapText="1"/>
      <protection hidden="1"/>
    </xf>
    <xf numFmtId="40" fontId="21" fillId="2" borderId="13" xfId="1" applyNumberFormat="1" applyFont="1" applyFill="1" applyBorder="1" applyProtection="1">
      <protection hidden="1"/>
    </xf>
    <xf numFmtId="0" fontId="16" fillId="2" borderId="0" xfId="0" applyFont="1" applyFill="1" applyProtection="1">
      <protection hidden="1"/>
    </xf>
    <xf numFmtId="0" fontId="26" fillId="2" borderId="0" xfId="0" applyFont="1" applyFill="1" applyBorder="1" applyProtection="1">
      <protection hidden="1"/>
    </xf>
    <xf numFmtId="43" fontId="27" fillId="2" borderId="0" xfId="1" applyFont="1" applyFill="1" applyBorder="1" applyProtection="1">
      <protection hidden="1"/>
    </xf>
    <xf numFmtId="164" fontId="27" fillId="2" borderId="0" xfId="1" applyNumberFormat="1" applyFont="1" applyFill="1" applyBorder="1" applyProtection="1">
      <protection hidden="1"/>
    </xf>
    <xf numFmtId="0" fontId="27" fillId="2" borderId="0" xfId="0" applyFont="1" applyFill="1" applyBorder="1" applyProtection="1">
      <protection hidden="1"/>
    </xf>
    <xf numFmtId="0" fontId="29" fillId="2" borderId="0" xfId="2" applyFont="1" applyFill="1" applyBorder="1" applyAlignment="1" applyProtection="1">
      <protection hidden="1"/>
    </xf>
    <xf numFmtId="0" fontId="13" fillId="15" borderId="6" xfId="2" applyFont="1" applyFill="1" applyBorder="1" applyAlignment="1" applyProtection="1">
      <alignment wrapText="1"/>
      <protection hidden="1"/>
    </xf>
    <xf numFmtId="0" fontId="0" fillId="2" borderId="36" xfId="0" applyFill="1" applyBorder="1" applyAlignment="1" applyProtection="1">
      <alignment horizontal="center"/>
      <protection locked="0"/>
    </xf>
    <xf numFmtId="2" fontId="0" fillId="2" borderId="15" xfId="0" applyNumberFormat="1" applyFill="1" applyBorder="1" applyAlignment="1" applyProtection="1">
      <alignment wrapText="1"/>
      <protection hidden="1"/>
    </xf>
    <xf numFmtId="2" fontId="0" fillId="2" borderId="34" xfId="0" applyNumberFormat="1" applyFill="1" applyBorder="1" applyAlignment="1" applyProtection="1">
      <alignment wrapText="1"/>
      <protection hidden="1"/>
    </xf>
    <xf numFmtId="2" fontId="0" fillId="2" borderId="28" xfId="0" applyNumberFormat="1" applyFill="1" applyBorder="1" applyAlignment="1" applyProtection="1">
      <alignment wrapText="1"/>
      <protection hidden="1"/>
    </xf>
    <xf numFmtId="0" fontId="32" fillId="2" borderId="0" xfId="0" applyFont="1" applyFill="1" applyProtection="1">
      <protection locked="0"/>
    </xf>
    <xf numFmtId="2" fontId="32" fillId="2" borderId="0" xfId="0" applyNumberFormat="1" applyFont="1" applyFill="1" applyProtection="1">
      <protection locked="0"/>
    </xf>
    <xf numFmtId="0" fontId="27" fillId="2" borderId="0" xfId="0" applyFont="1" applyFill="1" applyBorder="1" applyAlignment="1" applyProtection="1">
      <alignment horizontal="left"/>
      <protection hidden="1"/>
    </xf>
    <xf numFmtId="0" fontId="21" fillId="3" borderId="3" xfId="0" applyFont="1" applyFill="1" applyBorder="1" applyAlignment="1" applyProtection="1">
      <alignment horizontal="center" wrapText="1"/>
      <protection hidden="1"/>
    </xf>
    <xf numFmtId="0" fontId="21" fillId="3" borderId="14" xfId="0" applyFont="1" applyFill="1" applyBorder="1" applyAlignment="1" applyProtection="1">
      <alignment horizontal="center"/>
      <protection hidden="1"/>
    </xf>
    <xf numFmtId="0" fontId="21" fillId="3" borderId="4" xfId="0" applyFont="1" applyFill="1" applyBorder="1" applyAlignment="1" applyProtection="1">
      <alignment horizontal="center"/>
      <protection hidden="1"/>
    </xf>
    <xf numFmtId="0" fontId="25" fillId="2" borderId="37" xfId="0" applyFont="1" applyFill="1" applyBorder="1" applyAlignment="1" applyProtection="1">
      <alignment horizontal="left" wrapText="1"/>
      <protection hidden="1"/>
    </xf>
    <xf numFmtId="0" fontId="25" fillId="2" borderId="17" xfId="0" applyFont="1" applyFill="1" applyBorder="1" applyAlignment="1" applyProtection="1">
      <alignment horizontal="left" wrapText="1"/>
      <protection hidden="1"/>
    </xf>
    <xf numFmtId="0" fontId="25" fillId="2" borderId="38" xfId="0" applyFont="1" applyFill="1" applyBorder="1" applyAlignment="1" applyProtection="1">
      <alignment horizontal="left" wrapText="1"/>
      <protection hidden="1"/>
    </xf>
    <xf numFmtId="0" fontId="25" fillId="2" borderId="18" xfId="0" applyFont="1" applyFill="1" applyBorder="1" applyAlignment="1" applyProtection="1">
      <alignment horizontal="left" wrapText="1"/>
      <protection hidden="1"/>
    </xf>
    <xf numFmtId="0" fontId="25" fillId="2" borderId="39" xfId="0" applyFont="1" applyFill="1" applyBorder="1" applyAlignment="1" applyProtection="1">
      <alignment horizontal="left" wrapText="1"/>
      <protection hidden="1"/>
    </xf>
    <xf numFmtId="0" fontId="25" fillId="2" borderId="20" xfId="0" applyFont="1" applyFill="1" applyBorder="1" applyAlignment="1" applyProtection="1">
      <alignment horizontal="left" wrapText="1"/>
      <protection hidden="1"/>
    </xf>
    <xf numFmtId="0" fontId="9" fillId="2" borderId="0" xfId="0" applyFont="1" applyFill="1" applyBorder="1" applyAlignment="1" applyProtection="1">
      <alignment horizontal="left"/>
      <protection hidden="1"/>
    </xf>
    <xf numFmtId="0" fontId="3" fillId="2" borderId="0" xfId="0" applyFont="1" applyFill="1" applyBorder="1" applyAlignment="1" applyProtection="1">
      <alignment horizontal="left"/>
      <protection hidden="1"/>
    </xf>
    <xf numFmtId="2" fontId="5" fillId="3" borderId="4" xfId="0" applyNumberFormat="1" applyFont="1" applyFill="1" applyBorder="1" applyAlignment="1" applyProtection="1">
      <alignment wrapText="1"/>
      <protection hidden="1"/>
    </xf>
    <xf numFmtId="0" fontId="0" fillId="2" borderId="3" xfId="0" applyFill="1" applyBorder="1" applyAlignment="1" applyProtection="1">
      <alignment horizontal="center"/>
      <protection hidden="1"/>
    </xf>
    <xf numFmtId="0" fontId="0" fillId="2" borderId="4" xfId="0" applyFill="1" applyBorder="1" applyAlignment="1" applyProtection="1">
      <alignment horizontal="center"/>
      <protection hidden="1"/>
    </xf>
    <xf numFmtId="0" fontId="0" fillId="2" borderId="14" xfId="0" applyFill="1" applyBorder="1" applyAlignment="1" applyProtection="1">
      <alignment horizontal="center"/>
      <protection hidden="1"/>
    </xf>
    <xf numFmtId="0" fontId="4" fillId="2" borderId="37" xfId="0" applyFont="1" applyFill="1" applyBorder="1" applyAlignment="1" applyProtection="1">
      <alignment horizontal="left" wrapText="1"/>
      <protection hidden="1"/>
    </xf>
    <xf numFmtId="0" fontId="4" fillId="2" borderId="16" xfId="0" applyFont="1" applyFill="1" applyBorder="1" applyAlignment="1" applyProtection="1">
      <alignment horizontal="left" wrapText="1"/>
      <protection hidden="1"/>
    </xf>
    <xf numFmtId="0" fontId="4" fillId="2" borderId="17" xfId="0" applyFont="1" applyFill="1" applyBorder="1" applyAlignment="1" applyProtection="1">
      <alignment horizontal="left" wrapText="1"/>
      <protection hidden="1"/>
    </xf>
    <xf numFmtId="0" fontId="4" fillId="2" borderId="39" xfId="0" applyFont="1" applyFill="1" applyBorder="1" applyAlignment="1" applyProtection="1">
      <alignment horizontal="left" wrapText="1"/>
      <protection hidden="1"/>
    </xf>
    <xf numFmtId="0" fontId="4" fillId="2" borderId="19" xfId="0" applyFont="1" applyFill="1" applyBorder="1" applyAlignment="1" applyProtection="1">
      <alignment horizontal="left" wrapText="1"/>
      <protection hidden="1"/>
    </xf>
    <xf numFmtId="0" fontId="4" fillId="2" borderId="20" xfId="0" applyFont="1" applyFill="1" applyBorder="1" applyAlignment="1" applyProtection="1">
      <alignment horizontal="left" wrapText="1"/>
      <protection hidden="1"/>
    </xf>
    <xf numFmtId="0" fontId="0" fillId="2" borderId="0" xfId="0" applyFill="1" applyAlignment="1" applyProtection="1">
      <alignment horizontal="left" wrapText="1"/>
      <protection locked="0"/>
    </xf>
    <xf numFmtId="0" fontId="11" fillId="2" borderId="0" xfId="0" applyFont="1" applyFill="1" applyBorder="1" applyAlignment="1" applyProtection="1">
      <alignment horizontal="center" wrapText="1"/>
      <protection hidden="1"/>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0" xfId="0" applyFill="1" applyAlignment="1" applyProtection="1">
      <alignment horizontal="left" wrapText="1"/>
      <protection hidden="1"/>
    </xf>
    <xf numFmtId="0" fontId="5" fillId="2" borderId="9" xfId="0" applyFont="1" applyFill="1" applyBorder="1" applyAlignment="1" applyProtection="1">
      <alignment horizontal="left" wrapText="1"/>
      <protection hidden="1"/>
    </xf>
    <xf numFmtId="0" fontId="5" fillId="2" borderId="35" xfId="0" applyFont="1" applyFill="1" applyBorder="1" applyAlignment="1" applyProtection="1">
      <alignment horizontal="left" wrapText="1"/>
      <protection hidden="1"/>
    </xf>
    <xf numFmtId="2" fontId="5" fillId="3" borderId="4" xfId="0" applyNumberFormat="1" applyFont="1" applyFill="1" applyBorder="1" applyAlignment="1" applyProtection="1">
      <alignment horizontal="left" wrapText="1"/>
      <protection hidden="1"/>
    </xf>
    <xf numFmtId="2" fontId="5" fillId="2" borderId="9" xfId="0" applyNumberFormat="1" applyFont="1" applyFill="1" applyBorder="1" applyAlignment="1" applyProtection="1">
      <alignment horizontal="left" vertical="center" wrapText="1"/>
      <protection hidden="1"/>
    </xf>
    <xf numFmtId="2" fontId="5" fillId="2" borderId="35" xfId="0" applyNumberFormat="1" applyFont="1" applyFill="1" applyBorder="1" applyAlignment="1" applyProtection="1">
      <alignment horizontal="left" vertical="center" wrapText="1"/>
      <protection hidden="1"/>
    </xf>
    <xf numFmtId="2" fontId="5" fillId="2" borderId="9" xfId="0" applyNumberFormat="1" applyFont="1" applyFill="1" applyBorder="1" applyAlignment="1" applyProtection="1">
      <alignment vertical="top" wrapText="1"/>
      <protection hidden="1"/>
    </xf>
    <xf numFmtId="2" fontId="5" fillId="2" borderId="35" xfId="0" applyNumberFormat="1" applyFont="1" applyFill="1" applyBorder="1" applyAlignment="1" applyProtection="1">
      <alignment vertical="top" wrapText="1"/>
      <protection hidden="1"/>
    </xf>
    <xf numFmtId="2" fontId="5" fillId="2" borderId="34" xfId="0" applyNumberFormat="1" applyFont="1" applyFill="1" applyBorder="1" applyAlignment="1" applyProtection="1">
      <alignment vertical="top" wrapText="1"/>
      <protection hidden="1"/>
    </xf>
    <xf numFmtId="2" fontId="5" fillId="2" borderId="9" xfId="0" applyNumberFormat="1" applyFont="1" applyFill="1" applyBorder="1" applyAlignment="1" applyProtection="1">
      <alignment horizontal="left" wrapText="1"/>
      <protection hidden="1"/>
    </xf>
    <xf numFmtId="2" fontId="5" fillId="2" borderId="35" xfId="0" applyNumberFormat="1" applyFont="1" applyFill="1" applyBorder="1" applyAlignment="1" applyProtection="1">
      <alignment horizontal="left" wrapText="1"/>
      <protection hidden="1"/>
    </xf>
    <xf numFmtId="0" fontId="9" fillId="11" borderId="8" xfId="0" applyFont="1" applyFill="1" applyBorder="1" applyAlignment="1" applyProtection="1">
      <alignment horizontal="left"/>
      <protection hidden="1"/>
    </xf>
    <xf numFmtId="0" fontId="9" fillId="11" borderId="5" xfId="0" applyFont="1" applyFill="1" applyBorder="1" applyAlignment="1" applyProtection="1">
      <alignment horizontal="left"/>
      <protection hidden="1"/>
    </xf>
    <xf numFmtId="0" fontId="9" fillId="11" borderId="15" xfId="0" applyFont="1" applyFill="1" applyBorder="1" applyAlignment="1" applyProtection="1">
      <alignment horizontal="left"/>
      <protection hidden="1"/>
    </xf>
    <xf numFmtId="0" fontId="9" fillId="12" borderId="8" xfId="0" applyFont="1" applyFill="1" applyBorder="1" applyAlignment="1" applyProtection="1">
      <alignment horizontal="left"/>
      <protection hidden="1"/>
    </xf>
    <xf numFmtId="0" fontId="9" fillId="12" borderId="5" xfId="0" applyFont="1" applyFill="1" applyBorder="1" applyAlignment="1" applyProtection="1">
      <alignment horizontal="left"/>
      <protection hidden="1"/>
    </xf>
    <xf numFmtId="0" fontId="9" fillId="12" borderId="15" xfId="0" applyFont="1" applyFill="1" applyBorder="1" applyAlignment="1" applyProtection="1">
      <alignment horizontal="left"/>
      <protection hidden="1"/>
    </xf>
    <xf numFmtId="0" fontId="3" fillId="13" borderId="8" xfId="0" applyFont="1" applyFill="1" applyBorder="1" applyAlignment="1" applyProtection="1">
      <alignment horizontal="left"/>
      <protection hidden="1"/>
    </xf>
    <xf numFmtId="0" fontId="3" fillId="13" borderId="5" xfId="0" applyFont="1" applyFill="1" applyBorder="1" applyAlignment="1" applyProtection="1">
      <alignment horizontal="left"/>
      <protection hidden="1"/>
    </xf>
    <xf numFmtId="0" fontId="3" fillId="13" borderId="15" xfId="0" applyFont="1" applyFill="1" applyBorder="1" applyAlignment="1" applyProtection="1">
      <alignment horizontal="left"/>
      <protection hidden="1"/>
    </xf>
    <xf numFmtId="0" fontId="3" fillId="14" borderId="3" xfId="0" applyFont="1" applyFill="1" applyBorder="1" applyAlignment="1" applyProtection="1">
      <alignment horizontal="left"/>
      <protection hidden="1"/>
    </xf>
    <xf numFmtId="0" fontId="3" fillId="14" borderId="4" xfId="0" applyFont="1" applyFill="1" applyBorder="1" applyAlignment="1" applyProtection="1">
      <alignment horizontal="left"/>
      <protection hidden="1"/>
    </xf>
    <xf numFmtId="0" fontId="3" fillId="14" borderId="14" xfId="0" applyFont="1" applyFill="1" applyBorder="1" applyAlignment="1" applyProtection="1">
      <alignment horizontal="left"/>
      <protection hidden="1"/>
    </xf>
    <xf numFmtId="0" fontId="4" fillId="2" borderId="37" xfId="0" applyFont="1" applyFill="1" applyBorder="1" applyAlignment="1" applyProtection="1">
      <alignment horizontal="left" wrapText="1"/>
      <protection locked="0"/>
    </xf>
    <xf numFmtId="0" fontId="4" fillId="2" borderId="16" xfId="0" applyFont="1" applyFill="1" applyBorder="1" applyAlignment="1" applyProtection="1">
      <alignment horizontal="left" wrapText="1"/>
      <protection locked="0"/>
    </xf>
    <xf numFmtId="0" fontId="4" fillId="2" borderId="17" xfId="0" applyFont="1" applyFill="1" applyBorder="1" applyAlignment="1" applyProtection="1">
      <alignment horizontal="left" wrapText="1"/>
      <protection locked="0"/>
    </xf>
    <xf numFmtId="0" fontId="4" fillId="2" borderId="38" xfId="0" applyFont="1" applyFill="1" applyBorder="1" applyAlignment="1" applyProtection="1">
      <alignment horizontal="left" wrapText="1"/>
      <protection locked="0"/>
    </xf>
    <xf numFmtId="0" fontId="4" fillId="2" borderId="0" xfId="0" applyFont="1" applyFill="1" applyBorder="1" applyAlignment="1" applyProtection="1">
      <alignment horizontal="left" wrapText="1"/>
      <protection locked="0"/>
    </xf>
    <xf numFmtId="0" fontId="4" fillId="2" borderId="18" xfId="0" applyFont="1" applyFill="1" applyBorder="1" applyAlignment="1" applyProtection="1">
      <alignment horizontal="left" wrapText="1"/>
      <protection locked="0"/>
    </xf>
    <xf numFmtId="0" fontId="4" fillId="2" borderId="39" xfId="0" applyFont="1" applyFill="1" applyBorder="1" applyAlignment="1" applyProtection="1">
      <alignment horizontal="left" wrapText="1"/>
      <protection locked="0"/>
    </xf>
    <xf numFmtId="0" fontId="4" fillId="2" borderId="19" xfId="0" applyFont="1" applyFill="1" applyBorder="1" applyAlignment="1" applyProtection="1">
      <alignment horizontal="left" wrapText="1"/>
      <protection locked="0"/>
    </xf>
    <xf numFmtId="0" fontId="4" fillId="2" borderId="20" xfId="0" applyFont="1" applyFill="1" applyBorder="1" applyAlignment="1" applyProtection="1">
      <alignment horizontal="left" wrapText="1"/>
      <protection locked="0"/>
    </xf>
    <xf numFmtId="0" fontId="15" fillId="2" borderId="9" xfId="0" applyFont="1" applyFill="1" applyBorder="1" applyAlignment="1" applyProtection="1">
      <alignment vertical="top" wrapText="1"/>
    </xf>
    <xf numFmtId="0" fontId="15" fillId="2" borderId="35" xfId="0" applyFont="1" applyFill="1" applyBorder="1" applyAlignment="1" applyProtection="1">
      <alignment vertical="top" wrapText="1"/>
    </xf>
    <xf numFmtId="0" fontId="15" fillId="2" borderId="34" xfId="0" applyFont="1" applyFill="1" applyBorder="1" applyAlignment="1" applyProtection="1">
      <alignment vertical="top" wrapText="1"/>
    </xf>
    <xf numFmtId="0" fontId="15" fillId="2" borderId="9" xfId="0" applyFont="1" applyFill="1" applyBorder="1" applyAlignment="1" applyProtection="1">
      <alignment horizontal="left" vertical="top" wrapText="1"/>
    </xf>
    <xf numFmtId="0" fontId="15" fillId="2" borderId="34" xfId="0" applyFont="1" applyFill="1" applyBorder="1" applyAlignment="1" applyProtection="1">
      <alignment horizontal="left" vertical="top" wrapText="1"/>
    </xf>
    <xf numFmtId="0" fontId="13" fillId="3" borderId="3" xfId="0" applyFont="1" applyFill="1" applyBorder="1" applyAlignment="1" applyProtection="1">
      <alignment horizontal="left" wrapText="1"/>
    </xf>
    <xf numFmtId="0" fontId="13" fillId="3" borderId="14" xfId="0" applyFont="1" applyFill="1" applyBorder="1" applyAlignment="1" applyProtection="1">
      <alignment horizontal="left" wrapText="1"/>
    </xf>
  </cellXfs>
  <cellStyles count="3">
    <cellStyle name="Comma" xfId="1" builtinId="3"/>
    <cellStyle name="Hyperlink" xfId="2" builtinId="8"/>
    <cellStyle name="Normal" xfId="0" builtinId="0"/>
  </cellStyles>
  <dxfs count="6">
    <dxf>
      <border>
        <left/>
        <right style="thin">
          <color indexed="53"/>
        </right>
        <top style="thin">
          <color indexed="53"/>
        </top>
        <bottom style="thin">
          <color indexed="53"/>
        </bottom>
      </border>
    </dxf>
    <dxf>
      <border>
        <left/>
        <right style="thin">
          <color indexed="53"/>
        </right>
        <top style="thin">
          <color indexed="53"/>
        </top>
        <bottom style="thin">
          <color indexed="53"/>
        </bottom>
      </border>
    </dxf>
    <dxf>
      <font>
        <condense val="0"/>
        <extend val="0"/>
        <color indexed="10"/>
      </font>
    </dxf>
    <dxf>
      <border>
        <left/>
        <right style="thin">
          <color indexed="53"/>
        </right>
        <top style="thin">
          <color indexed="53"/>
        </top>
        <bottom style="thin">
          <color indexed="53"/>
        </bottom>
      </border>
    </dxf>
    <dxf>
      <border>
        <left/>
        <right style="thin">
          <color indexed="53"/>
        </right>
        <top style="thin">
          <color indexed="53"/>
        </top>
        <bottom style="thin">
          <color indexed="53"/>
        </bottom>
      </border>
    </dxf>
    <dxf>
      <font>
        <condense val="0"/>
        <extend val="0"/>
        <color indexed="10"/>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2.xml.rels><?xml version="1.0" encoding="UTF-8" standalone="yes"?>
<Relationships xmlns="http://schemas.openxmlformats.org/package/2006/relationships"><Relationship Id="rId1" Type="http://schemas.openxmlformats.org/officeDocument/2006/relationships/hyperlink" Target="#Inputs!A1"/><Relationship Id="rId2"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hyperlink" Target="#'Case Selection'!A1"/></Relationships>
</file>

<file path=xl/drawings/_rels/drawing4.xml.rels><?xml version="1.0" encoding="UTF-8" standalone="yes"?>
<Relationships xmlns="http://schemas.openxmlformats.org/package/2006/relationships"><Relationship Id="rId11" Type="http://schemas.openxmlformats.org/officeDocument/2006/relationships/hyperlink" Target="#'Case 2b OR 3c'!B7"/><Relationship Id="rId12" Type="http://schemas.openxmlformats.org/officeDocument/2006/relationships/hyperlink" Target="#'Case 2b OR 3c'!B49"/><Relationship Id="rId13" Type="http://schemas.openxmlformats.org/officeDocument/2006/relationships/hyperlink" Target="#'Case 4'!B19"/><Relationship Id="rId14" Type="http://schemas.openxmlformats.org/officeDocument/2006/relationships/hyperlink" Target="#'Case 4'!B9"/><Relationship Id="rId15" Type="http://schemas.openxmlformats.org/officeDocument/2006/relationships/hyperlink" Target="#'Case 4'!B27"/><Relationship Id="rId16" Type="http://schemas.openxmlformats.org/officeDocument/2006/relationships/hyperlink" Target="#'Case 4'!B37"/><Relationship Id="rId17" Type="http://schemas.openxmlformats.org/officeDocument/2006/relationships/hyperlink" Target="#'ISNA-Schedule'!A1"/><Relationship Id="rId18" Type="http://schemas.openxmlformats.org/officeDocument/2006/relationships/hyperlink" Target="#Instructions!A1"/><Relationship Id="rId1" Type="http://schemas.openxmlformats.org/officeDocument/2006/relationships/hyperlink" Target="#Introduction!A1"/><Relationship Id="rId2" Type="http://schemas.openxmlformats.org/officeDocument/2006/relationships/hyperlink" Target="#Inputs!A1"/><Relationship Id="rId3" Type="http://schemas.openxmlformats.org/officeDocument/2006/relationships/hyperlink" Target="#'Case 1 OR 3a'!A1"/><Relationship Id="rId4" Type="http://schemas.openxmlformats.org/officeDocument/2006/relationships/hyperlink" Target="#'Case 5'!A1"/><Relationship Id="rId5" Type="http://schemas.openxmlformats.org/officeDocument/2006/relationships/hyperlink" Target="#'Case 2a OR 3b'!B7"/><Relationship Id="rId6" Type="http://schemas.openxmlformats.org/officeDocument/2006/relationships/hyperlink" Target="#'Case 1 OR 3a'!a1"/><Relationship Id="rId7" Type="http://schemas.openxmlformats.org/officeDocument/2006/relationships/hyperlink" Target="#'Case 2b OR 3c'!b2"/><Relationship Id="rId8" Type="http://schemas.openxmlformats.org/officeDocument/2006/relationships/hyperlink" Target="#'Case 2a OR 3b'!B24"/><Relationship Id="rId9" Type="http://schemas.openxmlformats.org/officeDocument/2006/relationships/hyperlink" Target="#'Case 2a OR 3b'!B37"/><Relationship Id="rId10" Type="http://schemas.openxmlformats.org/officeDocument/2006/relationships/hyperlink" Target="#'Case 2b OR 3c'!B24"/></Relationships>
</file>

<file path=xl/drawings/_rels/drawing7.xml.rels><?xml version="1.0" encoding="UTF-8" standalone="yes"?>
<Relationships xmlns="http://schemas.openxmlformats.org/package/2006/relationships"><Relationship Id="rId1" Type="http://schemas.openxmlformats.org/officeDocument/2006/relationships/hyperlink" Target="#'Case Selection'!A1"/></Relationships>
</file>

<file path=xl/drawings/drawing1.xml><?xml version="1.0" encoding="utf-8"?>
<xdr:wsDr xmlns:xdr="http://schemas.openxmlformats.org/drawingml/2006/spreadsheetDrawing" xmlns:a="http://schemas.openxmlformats.org/drawingml/2006/main">
  <xdr:twoCellAnchor>
    <xdr:from>
      <xdr:col>1</xdr:col>
      <xdr:colOff>6489700</xdr:colOff>
      <xdr:row>11</xdr:row>
      <xdr:rowOff>25400</xdr:rowOff>
    </xdr:from>
    <xdr:to>
      <xdr:col>2</xdr:col>
      <xdr:colOff>38100</xdr:colOff>
      <xdr:row>12</xdr:row>
      <xdr:rowOff>76200</xdr:rowOff>
    </xdr:to>
    <xdr:sp macro="" textlink="">
      <xdr:nvSpPr>
        <xdr:cNvPr id="8193" name="Rectangle 1">
          <a:hlinkClick xmlns:r="http://schemas.openxmlformats.org/officeDocument/2006/relationships" r:id="rId1"/>
        </xdr:cNvPr>
        <xdr:cNvSpPr>
          <a:spLocks noChangeArrowheads="1"/>
        </xdr:cNvSpPr>
      </xdr:nvSpPr>
      <xdr:spPr bwMode="auto">
        <a:xfrm>
          <a:off x="7188200" y="4025900"/>
          <a:ext cx="2120900" cy="2032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xdr:spPr>
      <xdr:txBody>
        <a:bodyPr vertOverflow="clip" wrap="square" lIns="27432" tIns="22860" rIns="0" bIns="22860" anchor="ctr" upright="1"/>
        <a:lstStyle/>
        <a:p>
          <a:pPr algn="l" rtl="0">
            <a:defRPr sz="1000"/>
          </a:pPr>
          <a:r>
            <a:rPr lang="en-US" sz="1200" b="1" i="0" strike="noStrike">
              <a:solidFill>
                <a:srgbClr val="000000"/>
              </a:solidFill>
              <a:latin typeface="Arial"/>
              <a:ea typeface="Arial"/>
              <a:cs typeface="Arial"/>
            </a:rPr>
            <a:t>Go To Instructions</a:t>
          </a:r>
        </a:p>
      </xdr:txBody>
    </xdr:sp>
    <xdr:clientData/>
  </xdr:twoCellAnchor>
  <xdr:twoCellAnchor>
    <xdr:from>
      <xdr:col>6</xdr:col>
      <xdr:colOff>444500</xdr:colOff>
      <xdr:row>20</xdr:row>
      <xdr:rowOff>12700</xdr:rowOff>
    </xdr:from>
    <xdr:to>
      <xdr:col>7</xdr:col>
      <xdr:colOff>304800</xdr:colOff>
      <xdr:row>20</xdr:row>
      <xdr:rowOff>12700</xdr:rowOff>
    </xdr:to>
    <xdr:sp macro="" textlink="">
      <xdr:nvSpPr>
        <xdr:cNvPr id="8274" name="Line 2"/>
        <xdr:cNvSpPr>
          <a:spLocks noChangeShapeType="1"/>
        </xdr:cNvSpPr>
      </xdr:nvSpPr>
      <xdr:spPr bwMode="auto">
        <a:xfrm>
          <a:off x="12509500" y="5384800"/>
          <a:ext cx="5588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7</xdr:col>
      <xdr:colOff>444500</xdr:colOff>
      <xdr:row>48</xdr:row>
      <xdr:rowOff>63500</xdr:rowOff>
    </xdr:from>
    <xdr:to>
      <xdr:col>8</xdr:col>
      <xdr:colOff>304800</xdr:colOff>
      <xdr:row>48</xdr:row>
      <xdr:rowOff>63500</xdr:rowOff>
    </xdr:to>
    <xdr:sp macro="" textlink="">
      <xdr:nvSpPr>
        <xdr:cNvPr id="8275" name="Line 3"/>
        <xdr:cNvSpPr>
          <a:spLocks noChangeShapeType="1"/>
        </xdr:cNvSpPr>
      </xdr:nvSpPr>
      <xdr:spPr bwMode="auto">
        <a:xfrm>
          <a:off x="13208000" y="9702800"/>
          <a:ext cx="5588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8242300</xdr:colOff>
      <xdr:row>11</xdr:row>
      <xdr:rowOff>139700</xdr:rowOff>
    </xdr:from>
    <xdr:to>
      <xdr:col>1</xdr:col>
      <xdr:colOff>8496300</xdr:colOff>
      <xdr:row>11</xdr:row>
      <xdr:rowOff>139700</xdr:rowOff>
    </xdr:to>
    <xdr:sp macro="" textlink="">
      <xdr:nvSpPr>
        <xdr:cNvPr id="8276" name="Line 4"/>
        <xdr:cNvSpPr>
          <a:spLocks noChangeShapeType="1"/>
        </xdr:cNvSpPr>
      </xdr:nvSpPr>
      <xdr:spPr bwMode="auto">
        <a:xfrm>
          <a:off x="8940800" y="4140200"/>
          <a:ext cx="254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939800</xdr:colOff>
      <xdr:row>14</xdr:row>
      <xdr:rowOff>88900</xdr:rowOff>
    </xdr:from>
    <xdr:to>
      <xdr:col>1</xdr:col>
      <xdr:colOff>10553700</xdr:colOff>
      <xdr:row>32</xdr:row>
      <xdr:rowOff>38100</xdr:rowOff>
    </xdr:to>
    <xdr:sp macro="" textlink="">
      <xdr:nvSpPr>
        <xdr:cNvPr id="2054" name="Rectangle 6"/>
        <xdr:cNvSpPr>
          <a:spLocks noChangeArrowheads="1"/>
        </xdr:cNvSpPr>
      </xdr:nvSpPr>
      <xdr:spPr bwMode="auto">
        <a:xfrm>
          <a:off x="1320800" y="3035300"/>
          <a:ext cx="9613900" cy="2743200"/>
        </a:xfrm>
        <a:prstGeom prst="rect">
          <a:avLst/>
        </a:prstGeom>
        <a:solidFill>
          <a:srgbClr val="969696"/>
        </a:solidFill>
        <a:ln w="9525">
          <a:solidFill>
            <a:srgbClr val="000000"/>
          </a:solidFill>
          <a:miter lim="800000"/>
          <a:headEnd/>
          <a:tailEnd/>
        </a:ln>
      </xdr:spPr>
      <xdr:txBody>
        <a:bodyPr vertOverflow="clip" wrap="square" lIns="27432" tIns="18288" rIns="0" bIns="0" anchor="t" upright="1"/>
        <a:lstStyle/>
        <a:p>
          <a:pPr algn="l" rtl="0">
            <a:defRPr sz="1000"/>
          </a:pPr>
          <a:r>
            <a:rPr lang="en-US" sz="1000" b="1" i="0" strike="noStrike">
              <a:solidFill>
                <a:srgbClr val="000000"/>
              </a:solidFill>
              <a:latin typeface="Arial"/>
              <a:ea typeface="Arial"/>
              <a:cs typeface="Arial"/>
            </a:rPr>
            <a:t>EXAMPLE:</a:t>
          </a:r>
        </a:p>
      </xdr:txBody>
    </xdr:sp>
    <xdr:clientData/>
  </xdr:twoCellAnchor>
  <xdr:twoCellAnchor>
    <xdr:from>
      <xdr:col>0</xdr:col>
      <xdr:colOff>304800</xdr:colOff>
      <xdr:row>4</xdr:row>
      <xdr:rowOff>12700</xdr:rowOff>
    </xdr:from>
    <xdr:to>
      <xdr:col>1</xdr:col>
      <xdr:colOff>2044700</xdr:colOff>
      <xdr:row>5</xdr:row>
      <xdr:rowOff>0</xdr:rowOff>
    </xdr:to>
    <xdr:sp macro="" textlink="">
      <xdr:nvSpPr>
        <xdr:cNvPr id="2291" name="Rectangle 2"/>
        <xdr:cNvSpPr>
          <a:spLocks noChangeArrowheads="1"/>
        </xdr:cNvSpPr>
      </xdr:nvSpPr>
      <xdr:spPr bwMode="auto">
        <a:xfrm>
          <a:off x="304800" y="825500"/>
          <a:ext cx="2120900" cy="215900"/>
        </a:xfrm>
        <a:prstGeom prst="rect">
          <a:avLst/>
        </a:prstGeom>
        <a:solidFill>
          <a:srgbClr val="FCF305">
            <a:alpha val="41960"/>
          </a:srgbClr>
        </a:solidFill>
        <a:ln w="9525">
          <a:solidFill>
            <a:srgbClr val="000000"/>
          </a:solidFill>
          <a:miter lim="800000"/>
          <a:headEnd/>
          <a:tailEnd/>
        </a:ln>
      </xdr:spPr>
      <xdr:txBody>
        <a:bodyPr rtlCol="0"/>
        <a:lstStyle/>
        <a:p>
          <a:pPr algn="ctr"/>
          <a:endParaRPr lang="en-US"/>
        </a:p>
      </xdr:txBody>
    </xdr:sp>
    <xdr:clientData/>
  </xdr:twoCellAnchor>
  <xdr:twoCellAnchor>
    <xdr:from>
      <xdr:col>1</xdr:col>
      <xdr:colOff>9144000</xdr:colOff>
      <xdr:row>32</xdr:row>
      <xdr:rowOff>76200</xdr:rowOff>
    </xdr:from>
    <xdr:to>
      <xdr:col>2</xdr:col>
      <xdr:colOff>114300</xdr:colOff>
      <xdr:row>34</xdr:row>
      <xdr:rowOff>50800</xdr:rowOff>
    </xdr:to>
    <xdr:sp macro="" textlink="">
      <xdr:nvSpPr>
        <xdr:cNvPr id="2051" name="Rectangle 3">
          <a:hlinkClick xmlns:r="http://schemas.openxmlformats.org/officeDocument/2006/relationships" r:id="rId1"/>
        </xdr:cNvPr>
        <xdr:cNvSpPr>
          <a:spLocks noChangeArrowheads="1"/>
        </xdr:cNvSpPr>
      </xdr:nvSpPr>
      <xdr:spPr bwMode="auto">
        <a:xfrm>
          <a:off x="9525000" y="5816600"/>
          <a:ext cx="3848100" cy="2794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xdr:spPr>
      <xdr:txBody>
        <a:bodyPr vertOverflow="clip" wrap="square" lIns="36576" tIns="22860" rIns="0" bIns="0" anchor="t" upright="1"/>
        <a:lstStyle/>
        <a:p>
          <a:pPr algn="l" rtl="0">
            <a:defRPr sz="1000"/>
          </a:pPr>
          <a:r>
            <a:rPr lang="en-US" sz="1600" b="1" i="0" strike="noStrike">
              <a:solidFill>
                <a:srgbClr val="000000"/>
              </a:solidFill>
              <a:latin typeface="Arial"/>
              <a:ea typeface="Arial"/>
              <a:cs typeface="Arial"/>
            </a:rPr>
            <a:t>Go To Inputs (Steps 1 &amp; 2)</a:t>
          </a:r>
        </a:p>
      </xdr:txBody>
    </xdr:sp>
    <xdr:clientData/>
  </xdr:twoCellAnchor>
  <xdr:twoCellAnchor>
    <xdr:from>
      <xdr:col>1</xdr:col>
      <xdr:colOff>12230100</xdr:colOff>
      <xdr:row>33</xdr:row>
      <xdr:rowOff>76200</xdr:rowOff>
    </xdr:from>
    <xdr:to>
      <xdr:col>1</xdr:col>
      <xdr:colOff>12788900</xdr:colOff>
      <xdr:row>33</xdr:row>
      <xdr:rowOff>76200</xdr:rowOff>
    </xdr:to>
    <xdr:sp macro="" textlink="">
      <xdr:nvSpPr>
        <xdr:cNvPr id="2293" name="Line 4"/>
        <xdr:cNvSpPr>
          <a:spLocks noChangeShapeType="1"/>
        </xdr:cNvSpPr>
      </xdr:nvSpPr>
      <xdr:spPr bwMode="auto">
        <a:xfrm>
          <a:off x="12611100" y="5969000"/>
          <a:ext cx="5588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1</xdr:col>
      <xdr:colOff>1663700</xdr:colOff>
      <xdr:row>18</xdr:row>
      <xdr:rowOff>76200</xdr:rowOff>
    </xdr:from>
    <xdr:to>
      <xdr:col>1</xdr:col>
      <xdr:colOff>9753600</xdr:colOff>
      <xdr:row>31</xdr:row>
      <xdr:rowOff>101600</xdr:rowOff>
    </xdr:to>
    <xdr:pic>
      <xdr:nvPicPr>
        <xdr:cNvPr id="2294"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44700" y="3670300"/>
          <a:ext cx="80899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4267200</xdr:colOff>
      <xdr:row>23</xdr:row>
      <xdr:rowOff>50800</xdr:rowOff>
    </xdr:from>
    <xdr:to>
      <xdr:col>1</xdr:col>
      <xdr:colOff>4533900</xdr:colOff>
      <xdr:row>31</xdr:row>
      <xdr:rowOff>101600</xdr:rowOff>
    </xdr:to>
    <xdr:sp macro="" textlink="">
      <xdr:nvSpPr>
        <xdr:cNvPr id="2295" name="Rectangle 7"/>
        <xdr:cNvSpPr>
          <a:spLocks noChangeArrowheads="1"/>
        </xdr:cNvSpPr>
      </xdr:nvSpPr>
      <xdr:spPr bwMode="auto">
        <a:xfrm>
          <a:off x="4648200" y="4419600"/>
          <a:ext cx="266700" cy="1270000"/>
        </a:xfrm>
        <a:prstGeom prst="rect">
          <a:avLst/>
        </a:prstGeom>
        <a:noFill/>
        <a:ln w="28575">
          <a:solidFill>
            <a:srgbClr val="DD0806"/>
          </a:solidFill>
          <a:miter lim="800000"/>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xdr:col>
      <xdr:colOff>1562100</xdr:colOff>
      <xdr:row>15</xdr:row>
      <xdr:rowOff>101600</xdr:rowOff>
    </xdr:from>
    <xdr:to>
      <xdr:col>1</xdr:col>
      <xdr:colOff>3429000</xdr:colOff>
      <xdr:row>20</xdr:row>
      <xdr:rowOff>139700</xdr:rowOff>
    </xdr:to>
    <xdr:sp macro="" textlink="">
      <xdr:nvSpPr>
        <xdr:cNvPr id="2056" name="AutoShape 8"/>
        <xdr:cNvSpPr>
          <a:spLocks noChangeArrowheads="1"/>
        </xdr:cNvSpPr>
      </xdr:nvSpPr>
      <xdr:spPr bwMode="auto">
        <a:xfrm>
          <a:off x="1943100" y="3238500"/>
          <a:ext cx="1866900" cy="800100"/>
        </a:xfrm>
        <a:prstGeom prst="wedgeRectCallout">
          <a:avLst>
            <a:gd name="adj1" fmla="val 103486"/>
            <a:gd name="adj2" fmla="val 100000"/>
          </a:avLst>
        </a:prstGeom>
        <a:solidFill>
          <a:srgbClr val="FCF305"/>
        </a:solidFill>
        <a:ln w="9525">
          <a:solidFill>
            <a:srgbClr val="DD0806"/>
          </a:solid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User Input Only in Yellow shaded cells.</a:t>
          </a:r>
        </a:p>
      </xdr:txBody>
    </xdr:sp>
    <xdr:clientData/>
  </xdr:twoCellAnchor>
  <xdr:twoCellAnchor>
    <xdr:from>
      <xdr:col>1</xdr:col>
      <xdr:colOff>4864100</xdr:colOff>
      <xdr:row>14</xdr:row>
      <xdr:rowOff>114300</xdr:rowOff>
    </xdr:from>
    <xdr:to>
      <xdr:col>1</xdr:col>
      <xdr:colOff>6743700</xdr:colOff>
      <xdr:row>19</xdr:row>
      <xdr:rowOff>139700</xdr:rowOff>
    </xdr:to>
    <xdr:sp macro="" textlink="">
      <xdr:nvSpPr>
        <xdr:cNvPr id="2057" name="AutoShape 9"/>
        <xdr:cNvSpPr>
          <a:spLocks noChangeArrowheads="1"/>
        </xdr:cNvSpPr>
      </xdr:nvSpPr>
      <xdr:spPr bwMode="auto">
        <a:xfrm>
          <a:off x="5245100" y="3060700"/>
          <a:ext cx="1879600" cy="825500"/>
        </a:xfrm>
        <a:prstGeom prst="wedgeRectCallout">
          <a:avLst>
            <a:gd name="adj1" fmla="val -50000"/>
            <a:gd name="adj2" fmla="val 114704"/>
          </a:avLst>
        </a:prstGeom>
        <a:solidFill>
          <a:srgbClr val="C0C0C0"/>
        </a:solidFill>
        <a:ln w="9525">
          <a:solidFill>
            <a:srgbClr val="0000D4"/>
          </a:solid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Gray shaded cells contain the ONLY appropriate input choices for the yellow cells next to it - please make sure your input choices are correct.</a:t>
          </a:r>
        </a:p>
      </xdr:txBody>
    </xdr:sp>
    <xdr:clientData/>
  </xdr:twoCellAnchor>
  <xdr:twoCellAnchor>
    <xdr:from>
      <xdr:col>1</xdr:col>
      <xdr:colOff>4559300</xdr:colOff>
      <xdr:row>23</xdr:row>
      <xdr:rowOff>50800</xdr:rowOff>
    </xdr:from>
    <xdr:to>
      <xdr:col>1</xdr:col>
      <xdr:colOff>5067300</xdr:colOff>
      <xdr:row>31</xdr:row>
      <xdr:rowOff>101600</xdr:rowOff>
    </xdr:to>
    <xdr:sp macro="" textlink="">
      <xdr:nvSpPr>
        <xdr:cNvPr id="2298" name="Rectangle 10"/>
        <xdr:cNvSpPr>
          <a:spLocks noChangeArrowheads="1"/>
        </xdr:cNvSpPr>
      </xdr:nvSpPr>
      <xdr:spPr bwMode="auto">
        <a:xfrm>
          <a:off x="4940300" y="4419600"/>
          <a:ext cx="508000" cy="1270000"/>
        </a:xfrm>
        <a:prstGeom prst="rect">
          <a:avLst/>
        </a:prstGeom>
        <a:noFill/>
        <a:ln w="28575">
          <a:solidFill>
            <a:srgbClr val="0000D4"/>
          </a:solidFill>
          <a:miter lim="800000"/>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0</xdr:col>
      <xdr:colOff>342900</xdr:colOff>
      <xdr:row>4</xdr:row>
      <xdr:rowOff>190500</xdr:rowOff>
    </xdr:from>
    <xdr:to>
      <xdr:col>1</xdr:col>
      <xdr:colOff>977900</xdr:colOff>
      <xdr:row>22</xdr:row>
      <xdr:rowOff>101600</xdr:rowOff>
    </xdr:to>
    <xdr:cxnSp macro="">
      <xdr:nvCxnSpPr>
        <xdr:cNvPr id="2299" name="AutoShape 11"/>
        <xdr:cNvCxnSpPr>
          <a:cxnSpLocks noChangeShapeType="1"/>
        </xdr:cNvCxnSpPr>
      </xdr:nvCxnSpPr>
      <xdr:spPr bwMode="auto">
        <a:xfrm rot="10800000" flipH="1" flipV="1">
          <a:off x="342900" y="1003300"/>
          <a:ext cx="1016000" cy="3314700"/>
        </a:xfrm>
        <a:prstGeom prst="bentConnector3">
          <a:avLst>
            <a:gd name="adj1" fmla="val -25532"/>
          </a:avLst>
        </a:prstGeom>
        <a:noFill/>
        <a:ln w="38100">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4953000</xdr:colOff>
      <xdr:row>26</xdr:row>
      <xdr:rowOff>101600</xdr:rowOff>
    </xdr:from>
    <xdr:to>
      <xdr:col>1</xdr:col>
      <xdr:colOff>9867900</xdr:colOff>
      <xdr:row>29</xdr:row>
      <xdr:rowOff>50800</xdr:rowOff>
    </xdr:to>
    <xdr:sp macro="" textlink="">
      <xdr:nvSpPr>
        <xdr:cNvPr id="2300" name="Oval 12"/>
        <xdr:cNvSpPr>
          <a:spLocks noChangeArrowheads="1"/>
        </xdr:cNvSpPr>
      </xdr:nvSpPr>
      <xdr:spPr bwMode="auto">
        <a:xfrm rot="1056326">
          <a:off x="5334000" y="4927600"/>
          <a:ext cx="4914900" cy="406400"/>
        </a:xfrm>
        <a:prstGeom prst="ellipse">
          <a:avLst/>
        </a:prstGeom>
        <a:noFill/>
        <a:ln w="38100">
          <a:solidFill>
            <a:srgbClr val="339966"/>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en-US"/>
        </a:p>
      </xdr:txBody>
    </xdr:sp>
    <xdr:clientData/>
  </xdr:twoCellAnchor>
  <xdr:twoCellAnchor>
    <xdr:from>
      <xdr:col>1</xdr:col>
      <xdr:colOff>9575800</xdr:colOff>
      <xdr:row>16</xdr:row>
      <xdr:rowOff>0</xdr:rowOff>
    </xdr:from>
    <xdr:to>
      <xdr:col>2</xdr:col>
      <xdr:colOff>76200</xdr:colOff>
      <xdr:row>23</xdr:row>
      <xdr:rowOff>63500</xdr:rowOff>
    </xdr:to>
    <xdr:sp macro="" textlink="">
      <xdr:nvSpPr>
        <xdr:cNvPr id="2061" name="AutoShape 13"/>
        <xdr:cNvSpPr>
          <a:spLocks noChangeArrowheads="1"/>
        </xdr:cNvSpPr>
      </xdr:nvSpPr>
      <xdr:spPr bwMode="auto">
        <a:xfrm>
          <a:off x="9956800" y="3289300"/>
          <a:ext cx="3378200" cy="1143000"/>
        </a:xfrm>
        <a:prstGeom prst="wedgeRectCallout">
          <a:avLst>
            <a:gd name="adj1" fmla="val -70898"/>
            <a:gd name="adj2" fmla="val 129528"/>
          </a:avLst>
        </a:prstGeom>
        <a:solidFill>
          <a:srgbClr val="CCFFFF"/>
        </a:solidFill>
        <a:ln w="9525">
          <a:solidFill>
            <a:srgbClr val="339966"/>
          </a:solidFill>
          <a:miter lim="800000"/>
          <a:headEnd/>
          <a:tailEnd/>
        </a:ln>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Based on your inputs (in the yellow shaded cells) the tool calculates the share of living relatives in a given category (see instruction 9 above).  The accuracy of the calculated output is dependent on your inputs for the entire table, so please make sure you have referenced the gray shaded cells, which provide the ONLY appropriate choices for each yellow-shaded input cell.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1130300</xdr:colOff>
      <xdr:row>29</xdr:row>
      <xdr:rowOff>165100</xdr:rowOff>
    </xdr:from>
    <xdr:to>
      <xdr:col>8</xdr:col>
      <xdr:colOff>1130300</xdr:colOff>
      <xdr:row>31</xdr:row>
      <xdr:rowOff>127000</xdr:rowOff>
    </xdr:to>
    <xdr:sp macro="" textlink="">
      <xdr:nvSpPr>
        <xdr:cNvPr id="3076" name="Rectangle 4">
          <a:hlinkClick xmlns:r="http://schemas.openxmlformats.org/officeDocument/2006/relationships" r:id="rId1"/>
        </xdr:cNvPr>
        <xdr:cNvSpPr>
          <a:spLocks noChangeArrowheads="1"/>
        </xdr:cNvSpPr>
      </xdr:nvSpPr>
      <xdr:spPr bwMode="auto">
        <a:xfrm>
          <a:off x="9105900" y="5943600"/>
          <a:ext cx="4914900" cy="3429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xdr:spPr>
      <xdr:txBody>
        <a:bodyPr vertOverflow="clip" wrap="square" lIns="36576" tIns="22860" rIns="0" bIns="22860" anchor="ctr" upright="1"/>
        <a:lstStyle/>
        <a:p>
          <a:pPr algn="l" rtl="0">
            <a:defRPr sz="1000"/>
          </a:pPr>
          <a:r>
            <a:rPr lang="en-US" sz="1600" b="1" i="0" strike="noStrike">
              <a:solidFill>
                <a:srgbClr val="000000"/>
              </a:solidFill>
              <a:latin typeface="Arial"/>
              <a:ea typeface="Arial"/>
              <a:cs typeface="Arial"/>
            </a:rPr>
            <a:t>Go to Case Selection (Step 3)</a:t>
          </a:r>
        </a:p>
      </xdr:txBody>
    </xdr:sp>
    <xdr:clientData/>
  </xdr:twoCellAnchor>
  <xdr:twoCellAnchor>
    <xdr:from>
      <xdr:col>8</xdr:col>
      <xdr:colOff>469900</xdr:colOff>
      <xdr:row>30</xdr:row>
      <xdr:rowOff>139700</xdr:rowOff>
    </xdr:from>
    <xdr:to>
      <xdr:col>8</xdr:col>
      <xdr:colOff>1028700</xdr:colOff>
      <xdr:row>30</xdr:row>
      <xdr:rowOff>139700</xdr:rowOff>
    </xdr:to>
    <xdr:sp macro="" textlink="">
      <xdr:nvSpPr>
        <xdr:cNvPr id="3199" name="Line 5"/>
        <xdr:cNvSpPr>
          <a:spLocks noChangeShapeType="1"/>
        </xdr:cNvSpPr>
      </xdr:nvSpPr>
      <xdr:spPr bwMode="auto">
        <a:xfrm>
          <a:off x="13360400" y="6108700"/>
          <a:ext cx="558800" cy="0"/>
        </a:xfrm>
        <a:prstGeom prst="line">
          <a:avLst/>
        </a:prstGeom>
        <a:noFill/>
        <a:ln w="5715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6</xdr:col>
      <xdr:colOff>165100</xdr:colOff>
      <xdr:row>9</xdr:row>
      <xdr:rowOff>152400</xdr:rowOff>
    </xdr:from>
    <xdr:to>
      <xdr:col>8</xdr:col>
      <xdr:colOff>1206500</xdr:colOff>
      <xdr:row>17</xdr:row>
      <xdr:rowOff>63500</xdr:rowOff>
    </xdr:to>
    <xdr:sp macro="" textlink="">
      <xdr:nvSpPr>
        <xdr:cNvPr id="3078" name="AutoShape 6"/>
        <xdr:cNvSpPr>
          <a:spLocks noChangeArrowheads="1"/>
        </xdr:cNvSpPr>
      </xdr:nvSpPr>
      <xdr:spPr bwMode="auto">
        <a:xfrm>
          <a:off x="9702800" y="2120900"/>
          <a:ext cx="4394200" cy="1435100"/>
        </a:xfrm>
        <a:prstGeom prst="wedgeRectCallout">
          <a:avLst>
            <a:gd name="adj1" fmla="val -52176"/>
            <a:gd name="adj2" fmla="val -74505"/>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strike="noStrike">
              <a:solidFill>
                <a:srgbClr val="000000"/>
              </a:solidFill>
              <a:latin typeface="Arial"/>
              <a:ea typeface="Arial"/>
              <a:cs typeface="Arial"/>
            </a:rPr>
            <a:t>Note: Maximum amount available for disposition /gifts to individuals, institutions, or charities, etc. is limited </a:t>
          </a:r>
          <a:r>
            <a:rPr lang="en-US" sz="1200" b="1" i="1" strike="noStrike">
              <a:solidFill>
                <a:srgbClr val="000000"/>
              </a:solidFill>
              <a:latin typeface="Arial"/>
              <a:ea typeface="Arial"/>
              <a:cs typeface="Arial"/>
            </a:rPr>
            <a:t>up to </a:t>
          </a:r>
          <a:r>
            <a:rPr lang="en-US" sz="1200" b="0" i="0" strike="noStrike">
              <a:solidFill>
                <a:srgbClr val="000000"/>
              </a:solidFill>
              <a:latin typeface="Arial"/>
              <a:ea typeface="Arial"/>
              <a:cs typeface="Arial"/>
            </a:rPr>
            <a:t>1/3 of total amount available after debt repayment.  These dispositions are optional and can also include grandchildren whose parent is deceased.  </a:t>
          </a:r>
          <a:r>
            <a:rPr lang="en-US" sz="1200" b="0" i="0" u="sng" strike="noStrike">
              <a:solidFill>
                <a:srgbClr val="000000"/>
              </a:solidFill>
              <a:latin typeface="Arial"/>
              <a:ea typeface="Arial"/>
              <a:cs typeface="Arial"/>
            </a:rPr>
            <a:t>None</a:t>
          </a:r>
          <a:r>
            <a:rPr lang="en-US" sz="1200" b="0" i="0" strike="noStrike">
              <a:solidFill>
                <a:srgbClr val="000000"/>
              </a:solidFill>
              <a:latin typeface="Arial"/>
              <a:ea typeface="Arial"/>
              <a:cs typeface="Arial"/>
            </a:rPr>
            <a:t> of the inheritors, whose shares are pre-determined can be mentioned here.</a:t>
          </a:r>
        </a:p>
      </xdr:txBody>
    </xdr:sp>
    <xdr:clientData/>
  </xdr:twoCellAnchor>
  <xdr:twoCellAnchor>
    <xdr:from>
      <xdr:col>6</xdr:col>
      <xdr:colOff>1193800</xdr:colOff>
      <xdr:row>23</xdr:row>
      <xdr:rowOff>101600</xdr:rowOff>
    </xdr:from>
    <xdr:to>
      <xdr:col>8</xdr:col>
      <xdr:colOff>774700</xdr:colOff>
      <xdr:row>27</xdr:row>
      <xdr:rowOff>165100</xdr:rowOff>
    </xdr:to>
    <xdr:sp macro="" textlink="">
      <xdr:nvSpPr>
        <xdr:cNvPr id="3079" name="AutoShape 7"/>
        <xdr:cNvSpPr>
          <a:spLocks noChangeArrowheads="1"/>
        </xdr:cNvSpPr>
      </xdr:nvSpPr>
      <xdr:spPr bwMode="auto">
        <a:xfrm>
          <a:off x="10731500" y="4737100"/>
          <a:ext cx="2933700" cy="825500"/>
        </a:xfrm>
        <a:prstGeom prst="wedgeRectCallout">
          <a:avLst>
            <a:gd name="adj1" fmla="val -97431"/>
            <a:gd name="adj2" fmla="val -68181"/>
          </a:avLst>
        </a:prstGeom>
        <a:solidFill>
          <a:srgbClr val="C0C0C0"/>
        </a:solidFill>
        <a:ln w="9525">
          <a:solidFill>
            <a:srgbClr val="000000"/>
          </a:solidFill>
          <a:miter lim="800000"/>
          <a:headEnd/>
          <a:tailEnd/>
        </a:ln>
      </xdr:spPr>
      <xdr:txBody>
        <a:bodyPr vertOverflow="clip" wrap="square" lIns="27432" tIns="22860" rIns="0" bIns="0" anchor="t" upright="1"/>
        <a:lstStyle/>
        <a:p>
          <a:pPr algn="l" rtl="0">
            <a:defRPr sz="1000"/>
          </a:pPr>
          <a:r>
            <a:rPr lang="en-US" sz="1200" b="0" i="0" strike="noStrike">
              <a:solidFill>
                <a:srgbClr val="000000"/>
              </a:solidFill>
              <a:latin typeface="Arial"/>
              <a:ea typeface="Arial"/>
              <a:cs typeface="Arial"/>
            </a:rPr>
            <a:t>Note: This is the sum available to be inherited by living relatives per Islamic Rules of Inheritance (from ISNA).</a:t>
          </a:r>
        </a:p>
      </xdr:txBody>
    </xdr:sp>
    <xdr:clientData/>
  </xdr:twoCellAnchor>
  <xdr:twoCellAnchor>
    <xdr:from>
      <xdr:col>3</xdr:col>
      <xdr:colOff>342900</xdr:colOff>
      <xdr:row>23</xdr:row>
      <xdr:rowOff>101600</xdr:rowOff>
    </xdr:from>
    <xdr:to>
      <xdr:col>5</xdr:col>
      <xdr:colOff>1054100</xdr:colOff>
      <xdr:row>33</xdr:row>
      <xdr:rowOff>63500</xdr:rowOff>
    </xdr:to>
    <xdr:sp macro="" textlink="">
      <xdr:nvSpPr>
        <xdr:cNvPr id="3082" name="AutoShape 10"/>
        <xdr:cNvSpPr>
          <a:spLocks noChangeArrowheads="1"/>
        </xdr:cNvSpPr>
      </xdr:nvSpPr>
      <xdr:spPr bwMode="auto">
        <a:xfrm>
          <a:off x="5194300" y="4737100"/>
          <a:ext cx="3835400" cy="1866900"/>
        </a:xfrm>
        <a:prstGeom prst="wedgeRectCallout">
          <a:avLst>
            <a:gd name="adj1" fmla="val -59972"/>
            <a:gd name="adj2" fmla="val -28569"/>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en-US" sz="900" b="0" i="0" u="none" strike="noStrike" baseline="0">
              <a:solidFill>
                <a:srgbClr val="000000"/>
              </a:solidFill>
              <a:latin typeface="Arial"/>
              <a:ea typeface="Arial"/>
              <a:cs typeface="Arial"/>
            </a:rPr>
            <a:t>NOTES:</a:t>
          </a:r>
        </a:p>
        <a:p>
          <a:pPr algn="l" rtl="0">
            <a:defRPr sz="1000"/>
          </a:pPr>
          <a:r>
            <a:rPr lang="en-US" sz="900" b="0" i="0" u="none" strike="noStrike" baseline="0">
              <a:solidFill>
                <a:srgbClr val="000000"/>
              </a:solidFill>
              <a:latin typeface="Arial"/>
              <a:ea typeface="Arial"/>
              <a:cs typeface="Arial"/>
            </a:rPr>
            <a:t>1. You can </a:t>
          </a:r>
          <a:r>
            <a:rPr lang="en-US" sz="900" b="0" i="0" u="sng" strike="noStrike" baseline="0">
              <a:solidFill>
                <a:srgbClr val="000000"/>
              </a:solidFill>
              <a:latin typeface="Arial"/>
              <a:ea typeface="Arial"/>
              <a:cs typeface="Arial"/>
            </a:rPr>
            <a:t>EITHER</a:t>
          </a:r>
          <a:r>
            <a:rPr lang="en-US" sz="900" b="0" i="0" u="none" strike="noStrike" baseline="0">
              <a:solidFill>
                <a:srgbClr val="000000"/>
              </a:solidFill>
              <a:latin typeface="Arial"/>
              <a:ea typeface="Arial"/>
              <a:cs typeface="Arial"/>
            </a:rPr>
            <a:t> take the Market Value of the asset(s) that generate continuing income for calculating one-time shares of relatives after disposing off the asset </a:t>
          </a:r>
          <a:r>
            <a:rPr lang="en-US" sz="900" b="0" i="0" u="sng" strike="noStrike" baseline="0">
              <a:solidFill>
                <a:srgbClr val="000000"/>
              </a:solidFill>
              <a:latin typeface="Arial"/>
              <a:ea typeface="Arial"/>
              <a:cs typeface="Arial"/>
            </a:rPr>
            <a:t>OR</a:t>
          </a:r>
          <a:r>
            <a:rPr lang="en-US" sz="900" b="0" i="0" u="none" strike="noStrike" baseline="0">
              <a:solidFill>
                <a:srgbClr val="000000"/>
              </a:solidFill>
              <a:latin typeface="Arial"/>
              <a:ea typeface="Arial"/>
              <a:cs typeface="Arial"/>
            </a:rPr>
            <a:t> only enter annual income for annual share calculation - if you choose to calculate annual shares, make sure assets and liabilities are calculated separately and then the tool is only used to calculate annual shares of relatives.</a:t>
          </a:r>
        </a:p>
        <a:p>
          <a:pPr algn="l" rtl="0">
            <a:defRPr sz="1000"/>
          </a:pPr>
          <a:r>
            <a:rPr lang="en-US" sz="900" b="0" i="0" u="none" strike="noStrike" baseline="0">
              <a:solidFill>
                <a:srgbClr val="000000"/>
              </a:solidFill>
              <a:latin typeface="Arial"/>
              <a:ea typeface="Arial"/>
              <a:cs typeface="Arial"/>
            </a:rPr>
            <a:t>2. Social Security is not being considered as an Asset as it is due to the surviving spouse only - until he/she qualifies to receive it.  HOWEVER, if you know this not to be the case, then add it after checking with proper authorities.</a:t>
          </a:r>
        </a:p>
      </xdr:txBody>
    </xdr:sp>
    <xdr:clientData/>
  </xdr:twoCellAnchor>
  <xdr:twoCellAnchor>
    <xdr:from>
      <xdr:col>2</xdr:col>
      <xdr:colOff>38100</xdr:colOff>
      <xdr:row>25</xdr:row>
      <xdr:rowOff>114300</xdr:rowOff>
    </xdr:from>
    <xdr:to>
      <xdr:col>2</xdr:col>
      <xdr:colOff>1879600</xdr:colOff>
      <xdr:row>25</xdr:row>
      <xdr:rowOff>114300</xdr:rowOff>
    </xdr:to>
    <xdr:sp macro="" textlink="">
      <xdr:nvSpPr>
        <xdr:cNvPr id="3203" name="Line 11"/>
        <xdr:cNvSpPr>
          <a:spLocks noChangeShapeType="1"/>
        </xdr:cNvSpPr>
      </xdr:nvSpPr>
      <xdr:spPr bwMode="auto">
        <a:xfrm>
          <a:off x="2997200" y="5130800"/>
          <a:ext cx="184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304800</xdr:colOff>
      <xdr:row>3</xdr:row>
      <xdr:rowOff>50800</xdr:rowOff>
    </xdr:from>
    <xdr:to>
      <xdr:col>5</xdr:col>
      <xdr:colOff>622300</xdr:colOff>
      <xdr:row>45</xdr:row>
      <xdr:rowOff>50800</xdr:rowOff>
    </xdr:to>
    <xdr:sp macro="" textlink="">
      <xdr:nvSpPr>
        <xdr:cNvPr id="4151" name="Rectangle 55"/>
        <xdr:cNvSpPr>
          <a:spLocks noChangeArrowheads="1"/>
        </xdr:cNvSpPr>
      </xdr:nvSpPr>
      <xdr:spPr bwMode="auto">
        <a:xfrm>
          <a:off x="2400300" y="533400"/>
          <a:ext cx="1739900" cy="6400800"/>
        </a:xfrm>
        <a:prstGeom prst="rect">
          <a:avLst/>
        </a:prstGeom>
        <a:solidFill>
          <a:srgbClr val="C0C0C0"/>
        </a:solidFill>
        <a:ln w="38100">
          <a:solidFill>
            <a:srgbClr val="000000"/>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Arial"/>
              <a:cs typeface="Arial"/>
            </a:rPr>
            <a:t>Step3: CASE SELECTION</a:t>
          </a:r>
        </a:p>
        <a:p>
          <a:pPr algn="l" rtl="0">
            <a:defRPr sz="1000"/>
          </a:pPr>
          <a:endParaRPr lang="en-US" sz="1000" b="1" i="0" u="none" strike="noStrike" baseline="0">
            <a:solidFill>
              <a:srgbClr val="000000"/>
            </a:solidFill>
            <a:latin typeface="Arial"/>
            <a:ea typeface="Arial"/>
            <a:cs typeface="Arial"/>
          </a:endParaRPr>
        </a:p>
        <a:p>
          <a:pPr algn="l" rtl="0">
            <a:defRPr sz="1000"/>
          </a:pPr>
          <a:r>
            <a:rPr lang="en-US" sz="1000" b="1" i="0" u="none" strike="noStrike" baseline="0">
              <a:solidFill>
                <a:srgbClr val="000000"/>
              </a:solidFill>
              <a:latin typeface="Arial"/>
              <a:ea typeface="Arial"/>
              <a:cs typeface="Arial"/>
            </a:rPr>
            <a:t>You may want to read the Islamic rules of Inheritance to identify your case.</a:t>
          </a:r>
        </a:p>
      </xdr:txBody>
    </xdr:sp>
    <xdr:clientData/>
  </xdr:twoCellAnchor>
  <xdr:twoCellAnchor>
    <xdr:from>
      <xdr:col>0</xdr:col>
      <xdr:colOff>165100</xdr:colOff>
      <xdr:row>2</xdr:row>
      <xdr:rowOff>139700</xdr:rowOff>
    </xdr:from>
    <xdr:to>
      <xdr:col>2</xdr:col>
      <xdr:colOff>292100</xdr:colOff>
      <xdr:row>5</xdr:row>
      <xdr:rowOff>50800</xdr:rowOff>
    </xdr:to>
    <xdr:sp macro="" textlink="">
      <xdr:nvSpPr>
        <xdr:cNvPr id="4097" name="Rectangle 1">
          <a:hlinkClick xmlns:r="http://schemas.openxmlformats.org/officeDocument/2006/relationships" r:id="rId1"/>
        </xdr:cNvPr>
        <xdr:cNvSpPr>
          <a:spLocks noChangeArrowheads="1"/>
        </xdr:cNvSpPr>
      </xdr:nvSpPr>
      <xdr:spPr bwMode="auto">
        <a:xfrm>
          <a:off x="165100" y="469900"/>
          <a:ext cx="1524000" cy="368300"/>
        </a:xfrm>
        <a:prstGeom prst="rect">
          <a:avLst/>
        </a:prstGeom>
        <a:solidFill>
          <a:srgbClr val="00ABEA"/>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Introduction</a:t>
          </a:r>
        </a:p>
      </xdr:txBody>
    </xdr:sp>
    <xdr:clientData/>
  </xdr:twoCellAnchor>
  <xdr:twoCellAnchor>
    <xdr:from>
      <xdr:col>1</xdr:col>
      <xdr:colOff>63500</xdr:colOff>
      <xdr:row>24</xdr:row>
      <xdr:rowOff>25400</xdr:rowOff>
    </xdr:from>
    <xdr:to>
      <xdr:col>3</xdr:col>
      <xdr:colOff>190500</xdr:colOff>
      <xdr:row>26</xdr:row>
      <xdr:rowOff>76200</xdr:rowOff>
    </xdr:to>
    <xdr:sp macro="" textlink="">
      <xdr:nvSpPr>
        <xdr:cNvPr id="4098" name="Rectangle 2">
          <a:hlinkClick xmlns:r="http://schemas.openxmlformats.org/officeDocument/2006/relationships" r:id="rId2"/>
        </xdr:cNvPr>
        <xdr:cNvSpPr>
          <a:spLocks noChangeArrowheads="1"/>
        </xdr:cNvSpPr>
      </xdr:nvSpPr>
      <xdr:spPr bwMode="auto">
        <a:xfrm>
          <a:off x="762000" y="3708400"/>
          <a:ext cx="1524000" cy="355600"/>
        </a:xfrm>
        <a:prstGeom prst="rect">
          <a:avLst/>
        </a:prstGeom>
        <a:solidFill>
          <a:srgbClr val="FCF305"/>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 Inputs</a:t>
          </a:r>
        </a:p>
        <a:p>
          <a:pPr algn="l" rtl="0">
            <a:defRPr sz="1000"/>
          </a:pPr>
          <a:r>
            <a:rPr lang="en-US" sz="1000" b="0" i="0" u="none" strike="noStrike" baseline="0">
              <a:solidFill>
                <a:srgbClr val="000000"/>
              </a:solidFill>
              <a:latin typeface="Arial"/>
              <a:ea typeface="Arial"/>
              <a:cs typeface="Arial"/>
            </a:rPr>
            <a:t>Steps 1  and 2</a:t>
          </a:r>
        </a:p>
      </xdr:txBody>
    </xdr:sp>
    <xdr:clientData/>
  </xdr:twoCellAnchor>
  <xdr:twoCellAnchor>
    <xdr:from>
      <xdr:col>3</xdr:col>
      <xdr:colOff>431800</xdr:colOff>
      <xdr:row>24</xdr:row>
      <xdr:rowOff>25400</xdr:rowOff>
    </xdr:from>
    <xdr:to>
      <xdr:col>5</xdr:col>
      <xdr:colOff>558800</xdr:colOff>
      <xdr:row>26</xdr:row>
      <xdr:rowOff>76200</xdr:rowOff>
    </xdr:to>
    <xdr:sp macro="" textlink="">
      <xdr:nvSpPr>
        <xdr:cNvPr id="4099" name="Rectangle 3"/>
        <xdr:cNvSpPr>
          <a:spLocks noChangeArrowheads="1"/>
        </xdr:cNvSpPr>
      </xdr:nvSpPr>
      <xdr:spPr bwMode="auto">
        <a:xfrm>
          <a:off x="2527300" y="3708400"/>
          <a:ext cx="1549400" cy="355600"/>
        </a:xfrm>
        <a:prstGeom prst="rect">
          <a:avLst/>
        </a:prstGeom>
        <a:solidFill>
          <a:srgbClr val="FCF305"/>
        </a:solidFill>
        <a:ln w="9525">
          <a:noFill/>
          <a:miter lim="800000"/>
          <a:headEnd/>
          <a:tailEnd/>
        </a:ln>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Case Selection</a:t>
          </a:r>
        </a:p>
        <a:p>
          <a:pPr algn="l" rtl="0">
            <a:defRPr sz="1000"/>
          </a:pPr>
          <a:r>
            <a:rPr lang="en-US" sz="1000" b="0" i="0" u="none" strike="noStrike" baseline="0">
              <a:solidFill>
                <a:srgbClr val="000000"/>
              </a:solidFill>
              <a:latin typeface="Arial"/>
              <a:ea typeface="Arial"/>
              <a:cs typeface="Arial"/>
            </a:rPr>
            <a:t>Step 3 </a:t>
          </a:r>
        </a:p>
      </xdr:txBody>
    </xdr:sp>
    <xdr:clientData/>
  </xdr:twoCellAnchor>
  <xdr:twoCellAnchor>
    <xdr:from>
      <xdr:col>6</xdr:col>
      <xdr:colOff>520700</xdr:colOff>
      <xdr:row>2</xdr:row>
      <xdr:rowOff>127000</xdr:rowOff>
    </xdr:from>
    <xdr:to>
      <xdr:col>10</xdr:col>
      <xdr:colOff>12700</xdr:colOff>
      <xdr:row>6</xdr:row>
      <xdr:rowOff>12700</xdr:rowOff>
    </xdr:to>
    <xdr:sp macro="" textlink="">
      <xdr:nvSpPr>
        <xdr:cNvPr id="4102" name="Rectangle 6">
          <a:hlinkClick xmlns:r="http://schemas.openxmlformats.org/officeDocument/2006/relationships" r:id="rId3"/>
        </xdr:cNvPr>
        <xdr:cNvSpPr>
          <a:spLocks noChangeArrowheads="1"/>
        </xdr:cNvSpPr>
      </xdr:nvSpPr>
      <xdr:spPr bwMode="auto">
        <a:xfrm>
          <a:off x="4737100" y="457200"/>
          <a:ext cx="2286000" cy="495300"/>
        </a:xfrm>
        <a:prstGeom prst="rect">
          <a:avLst/>
        </a:prstGeom>
        <a:solidFill>
          <a:srgbClr val="3366FF"/>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1" i="0" strike="noStrike">
              <a:solidFill>
                <a:srgbClr val="000000"/>
              </a:solidFill>
              <a:latin typeface="Arial"/>
              <a:ea typeface="Arial"/>
              <a:cs typeface="Arial"/>
            </a:rPr>
            <a:t>Case 1: One Son or More AND Any # Daughters</a:t>
          </a:r>
        </a:p>
      </xdr:txBody>
    </xdr:sp>
    <xdr:clientData/>
  </xdr:twoCellAnchor>
  <xdr:twoCellAnchor>
    <xdr:from>
      <xdr:col>6</xdr:col>
      <xdr:colOff>520700</xdr:colOff>
      <xdr:row>8</xdr:row>
      <xdr:rowOff>0</xdr:rowOff>
    </xdr:from>
    <xdr:to>
      <xdr:col>10</xdr:col>
      <xdr:colOff>12700</xdr:colOff>
      <xdr:row>11</xdr:row>
      <xdr:rowOff>38100</xdr:rowOff>
    </xdr:to>
    <xdr:sp macro="" textlink="">
      <xdr:nvSpPr>
        <xdr:cNvPr id="4109" name="Rectangle 13"/>
        <xdr:cNvSpPr>
          <a:spLocks noChangeArrowheads="1"/>
        </xdr:cNvSpPr>
      </xdr:nvSpPr>
      <xdr:spPr bwMode="auto">
        <a:xfrm>
          <a:off x="4737100" y="1244600"/>
          <a:ext cx="2286000" cy="495300"/>
        </a:xfrm>
        <a:prstGeom prst="rect">
          <a:avLst/>
        </a:prstGeom>
        <a:solidFill>
          <a:srgbClr val="FF99CC"/>
        </a:solidFill>
        <a:ln w="28575">
          <a:noFill/>
          <a:prstDash val="sysDot"/>
          <a:miter lim="800000"/>
          <a:headEnd/>
          <a:tailEnd/>
        </a:ln>
        <a:effectLst/>
      </xdr:spPr>
      <xdr:txBody>
        <a:bodyPr vertOverflow="clip" wrap="square" lIns="27432" tIns="18288" rIns="0" bIns="0" anchor="t" upright="1"/>
        <a:lstStyle/>
        <a:p>
          <a:pPr algn="l" rtl="0">
            <a:defRPr sz="1000"/>
          </a:pPr>
          <a:r>
            <a:rPr lang="en-US" sz="1000" b="1" i="0" strike="noStrike">
              <a:solidFill>
                <a:srgbClr val="000000"/>
              </a:solidFill>
              <a:latin typeface="Arial"/>
              <a:ea typeface="Arial"/>
              <a:cs typeface="Arial"/>
            </a:rPr>
            <a:t>Case 2a: One Daughter, NO Son(s)</a:t>
          </a:r>
        </a:p>
      </xdr:txBody>
    </xdr:sp>
    <xdr:clientData/>
  </xdr:twoCellAnchor>
  <xdr:twoCellAnchor>
    <xdr:from>
      <xdr:col>6</xdr:col>
      <xdr:colOff>520700</xdr:colOff>
      <xdr:row>17</xdr:row>
      <xdr:rowOff>101600</xdr:rowOff>
    </xdr:from>
    <xdr:to>
      <xdr:col>10</xdr:col>
      <xdr:colOff>12700</xdr:colOff>
      <xdr:row>21</xdr:row>
      <xdr:rowOff>0</xdr:rowOff>
    </xdr:to>
    <xdr:sp macro="" textlink="">
      <xdr:nvSpPr>
        <xdr:cNvPr id="4110" name="Rectangle 14"/>
        <xdr:cNvSpPr>
          <a:spLocks noChangeArrowheads="1"/>
        </xdr:cNvSpPr>
      </xdr:nvSpPr>
      <xdr:spPr bwMode="auto">
        <a:xfrm>
          <a:off x="4737100" y="2717800"/>
          <a:ext cx="2286000" cy="508000"/>
        </a:xfrm>
        <a:prstGeom prst="rect">
          <a:avLst/>
        </a:prstGeom>
        <a:solidFill>
          <a:srgbClr val="FFCC99"/>
        </a:solidFill>
        <a:ln w="28575">
          <a:noFill/>
          <a:prstDash val="sysDot"/>
          <a:miter lim="800000"/>
          <a:headEnd/>
          <a:tailEnd/>
        </a:ln>
        <a:effectLst/>
      </xdr:spPr>
      <xdr:txBody>
        <a:bodyPr vertOverflow="clip" wrap="square" lIns="27432" tIns="18288" rIns="0" bIns="0" anchor="t" upright="1"/>
        <a:lstStyle/>
        <a:p>
          <a:pPr algn="l" rtl="0">
            <a:defRPr sz="1000"/>
          </a:pPr>
          <a:r>
            <a:rPr lang="en-US" sz="1000" b="1" i="0" strike="noStrike">
              <a:solidFill>
                <a:srgbClr val="000000"/>
              </a:solidFill>
              <a:latin typeface="Arial"/>
              <a:ea typeface="Arial"/>
              <a:cs typeface="Arial"/>
            </a:rPr>
            <a:t>Case 2b: More Than One Daughter, NO Son(s)</a:t>
          </a:r>
        </a:p>
      </xdr:txBody>
    </xdr:sp>
    <xdr:clientData/>
  </xdr:twoCellAnchor>
  <xdr:twoCellAnchor>
    <xdr:from>
      <xdr:col>6</xdr:col>
      <xdr:colOff>533400</xdr:colOff>
      <xdr:row>27</xdr:row>
      <xdr:rowOff>76200</xdr:rowOff>
    </xdr:from>
    <xdr:to>
      <xdr:col>10</xdr:col>
      <xdr:colOff>25400</xdr:colOff>
      <xdr:row>30</xdr:row>
      <xdr:rowOff>76200</xdr:rowOff>
    </xdr:to>
    <xdr:sp macro="" textlink="">
      <xdr:nvSpPr>
        <xdr:cNvPr id="4111" name="Rectangle 15"/>
        <xdr:cNvSpPr>
          <a:spLocks noChangeArrowheads="1"/>
        </xdr:cNvSpPr>
      </xdr:nvSpPr>
      <xdr:spPr bwMode="auto">
        <a:xfrm>
          <a:off x="4749800" y="4216400"/>
          <a:ext cx="2286000" cy="457200"/>
        </a:xfrm>
        <a:prstGeom prst="rect">
          <a:avLst/>
        </a:prstGeom>
        <a:gradFill rotWithShape="1">
          <a:gsLst>
            <a:gs pos="0">
              <a:srgbClr val="3366FF"/>
            </a:gs>
            <a:gs pos="100000">
              <a:srgbClr val="FFCC99"/>
            </a:gs>
          </a:gsLst>
          <a:lin ang="5400000" scaled="1"/>
        </a:gradFill>
        <a:ln w="9525">
          <a:noFill/>
          <a:miter lim="800000"/>
          <a:headEnd/>
          <a:tailEnd/>
        </a:ln>
        <a:effectLst/>
      </xdr:spPr>
      <xdr:txBody>
        <a:bodyPr vertOverflow="clip" wrap="square" lIns="27432" tIns="18288" rIns="0" bIns="0" anchor="t" upright="1"/>
        <a:lstStyle/>
        <a:p>
          <a:pPr algn="l" rtl="0">
            <a:defRPr sz="1000"/>
          </a:pPr>
          <a:r>
            <a:rPr lang="en-US" sz="1000" b="1" i="0" strike="noStrike">
              <a:solidFill>
                <a:srgbClr val="000000"/>
              </a:solidFill>
              <a:latin typeface="Arial"/>
              <a:ea typeface="Arial"/>
              <a:cs typeface="Arial"/>
            </a:rPr>
            <a:t>Case 3: Children of Son(s), NO Sons, NO Daughters</a:t>
          </a:r>
        </a:p>
      </xdr:txBody>
    </xdr:sp>
    <xdr:clientData/>
  </xdr:twoCellAnchor>
  <xdr:twoCellAnchor>
    <xdr:from>
      <xdr:col>6</xdr:col>
      <xdr:colOff>520700</xdr:colOff>
      <xdr:row>37</xdr:row>
      <xdr:rowOff>12700</xdr:rowOff>
    </xdr:from>
    <xdr:to>
      <xdr:col>10</xdr:col>
      <xdr:colOff>12700</xdr:colOff>
      <xdr:row>40</xdr:row>
      <xdr:rowOff>50800</xdr:rowOff>
    </xdr:to>
    <xdr:sp macro="" textlink="">
      <xdr:nvSpPr>
        <xdr:cNvPr id="4112" name="Rectangle 16"/>
        <xdr:cNvSpPr>
          <a:spLocks noChangeArrowheads="1"/>
        </xdr:cNvSpPr>
      </xdr:nvSpPr>
      <xdr:spPr bwMode="auto">
        <a:xfrm>
          <a:off x="4737100" y="5676900"/>
          <a:ext cx="2286000" cy="495300"/>
        </a:xfrm>
        <a:prstGeom prst="rect">
          <a:avLst/>
        </a:prstGeom>
        <a:solidFill>
          <a:srgbClr val="DD0806"/>
        </a:solidFill>
        <a:ln w="28575">
          <a:noFill/>
          <a:prstDash val="sysDot"/>
          <a:miter lim="800000"/>
          <a:headEnd/>
          <a:tailEnd/>
        </a:ln>
        <a:effectLst/>
      </xdr:spPr>
      <xdr:txBody>
        <a:bodyPr vertOverflow="clip" wrap="square" lIns="27432" tIns="18288" rIns="0" bIns="0" anchor="t" upright="1"/>
        <a:lstStyle/>
        <a:p>
          <a:pPr algn="l" rtl="0">
            <a:defRPr sz="1000"/>
          </a:pPr>
          <a:r>
            <a:rPr lang="en-US" sz="1000" b="1" i="0" strike="noStrike">
              <a:solidFill>
                <a:srgbClr val="FFFFFF"/>
              </a:solidFill>
              <a:latin typeface="Arial"/>
              <a:ea typeface="Arial"/>
              <a:cs typeface="Arial"/>
            </a:rPr>
            <a:t>Case 4: Parent(s), and NO Offspring</a:t>
          </a:r>
        </a:p>
      </xdr:txBody>
    </xdr:sp>
    <xdr:clientData/>
  </xdr:twoCellAnchor>
  <xdr:twoCellAnchor>
    <xdr:from>
      <xdr:col>6</xdr:col>
      <xdr:colOff>520700</xdr:colOff>
      <xdr:row>43</xdr:row>
      <xdr:rowOff>76200</xdr:rowOff>
    </xdr:from>
    <xdr:to>
      <xdr:col>10</xdr:col>
      <xdr:colOff>12700</xdr:colOff>
      <xdr:row>46</xdr:row>
      <xdr:rowOff>114300</xdr:rowOff>
    </xdr:to>
    <xdr:sp macro="" textlink="">
      <xdr:nvSpPr>
        <xdr:cNvPr id="4113" name="Rectangle 17">
          <a:hlinkClick xmlns:r="http://schemas.openxmlformats.org/officeDocument/2006/relationships" r:id="rId4"/>
        </xdr:cNvPr>
        <xdr:cNvSpPr>
          <a:spLocks noChangeArrowheads="1"/>
        </xdr:cNvSpPr>
      </xdr:nvSpPr>
      <xdr:spPr bwMode="auto">
        <a:xfrm>
          <a:off x="4737100" y="6654800"/>
          <a:ext cx="2286000" cy="495300"/>
        </a:xfrm>
        <a:prstGeom prst="rect">
          <a:avLst/>
        </a:prstGeom>
        <a:solidFill>
          <a:srgbClr val="666699"/>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1" i="0" strike="noStrike">
              <a:solidFill>
                <a:srgbClr val="FFFFFF"/>
              </a:solidFill>
              <a:latin typeface="Arial"/>
              <a:ea typeface="Arial"/>
              <a:cs typeface="Arial"/>
            </a:rPr>
            <a:t>Case 5: Spouse or No Spouse, NO Offspring, NO Parents</a:t>
          </a:r>
        </a:p>
      </xdr:txBody>
    </xdr:sp>
    <xdr:clientData/>
  </xdr:twoCellAnchor>
  <xdr:twoCellAnchor>
    <xdr:from>
      <xdr:col>11</xdr:col>
      <xdr:colOff>660400</xdr:colOff>
      <xdr:row>27</xdr:row>
      <xdr:rowOff>114300</xdr:rowOff>
    </xdr:from>
    <xdr:to>
      <xdr:col>17</xdr:col>
      <xdr:colOff>114300</xdr:colOff>
      <xdr:row>30</xdr:row>
      <xdr:rowOff>25400</xdr:rowOff>
    </xdr:to>
    <xdr:sp macro="" textlink="">
      <xdr:nvSpPr>
        <xdr:cNvPr id="4114" name="Rectangle 18">
          <a:hlinkClick xmlns:r="http://schemas.openxmlformats.org/officeDocument/2006/relationships" r:id="rId5"/>
        </xdr:cNvPr>
        <xdr:cNvSpPr>
          <a:spLocks noChangeArrowheads="1"/>
        </xdr:cNvSpPr>
      </xdr:nvSpPr>
      <xdr:spPr bwMode="auto">
        <a:xfrm>
          <a:off x="8369300" y="4254500"/>
          <a:ext cx="3644900" cy="368300"/>
        </a:xfrm>
        <a:prstGeom prst="rect">
          <a:avLst/>
        </a:prstGeom>
        <a:solidFill>
          <a:srgbClr val="FF99CC"/>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Case 3b: One Granddaughter, NO Grandsons</a:t>
          </a:r>
        </a:p>
        <a:p>
          <a:pPr algn="l" rtl="0">
            <a:defRPr sz="1000"/>
          </a:pPr>
          <a:r>
            <a:rPr lang="en-US" sz="1000" b="0" i="0" u="none" strike="noStrike" baseline="0">
              <a:solidFill>
                <a:srgbClr val="000000"/>
              </a:solidFill>
              <a:latin typeface="Arial"/>
              <a:ea typeface="Arial"/>
              <a:cs typeface="Arial"/>
            </a:rPr>
            <a:t>(THIS IS SAME AS CASE 2a)</a:t>
          </a:r>
        </a:p>
      </xdr:txBody>
    </xdr:sp>
    <xdr:clientData/>
  </xdr:twoCellAnchor>
  <xdr:twoCellAnchor>
    <xdr:from>
      <xdr:col>11</xdr:col>
      <xdr:colOff>660400</xdr:colOff>
      <xdr:row>24</xdr:row>
      <xdr:rowOff>101600</xdr:rowOff>
    </xdr:from>
    <xdr:to>
      <xdr:col>17</xdr:col>
      <xdr:colOff>114300</xdr:colOff>
      <xdr:row>27</xdr:row>
      <xdr:rowOff>25400</xdr:rowOff>
    </xdr:to>
    <xdr:sp macro="" textlink="">
      <xdr:nvSpPr>
        <xdr:cNvPr id="4115" name="Rectangle 19">
          <a:hlinkClick xmlns:r="http://schemas.openxmlformats.org/officeDocument/2006/relationships" r:id="rId6"/>
        </xdr:cNvPr>
        <xdr:cNvSpPr>
          <a:spLocks noChangeArrowheads="1"/>
        </xdr:cNvSpPr>
      </xdr:nvSpPr>
      <xdr:spPr bwMode="auto">
        <a:xfrm>
          <a:off x="8369300" y="3784600"/>
          <a:ext cx="3644900" cy="381000"/>
        </a:xfrm>
        <a:prstGeom prst="rect">
          <a:avLst/>
        </a:prstGeom>
        <a:solidFill>
          <a:srgbClr val="3366FF"/>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Case 3a: One or More Grandson(s) AND Any # of Granddaughters (THIS IS SAME AS CASE 1)</a:t>
          </a:r>
        </a:p>
      </xdr:txBody>
    </xdr:sp>
    <xdr:clientData/>
  </xdr:twoCellAnchor>
  <xdr:twoCellAnchor>
    <xdr:from>
      <xdr:col>11</xdr:col>
      <xdr:colOff>660400</xdr:colOff>
      <xdr:row>30</xdr:row>
      <xdr:rowOff>114300</xdr:rowOff>
    </xdr:from>
    <xdr:to>
      <xdr:col>17</xdr:col>
      <xdr:colOff>114300</xdr:colOff>
      <xdr:row>33</xdr:row>
      <xdr:rowOff>0</xdr:rowOff>
    </xdr:to>
    <xdr:sp macro="" textlink="">
      <xdr:nvSpPr>
        <xdr:cNvPr id="4116" name="Rectangle 20">
          <a:hlinkClick xmlns:r="http://schemas.openxmlformats.org/officeDocument/2006/relationships" r:id="rId7"/>
        </xdr:cNvPr>
        <xdr:cNvSpPr>
          <a:spLocks noChangeArrowheads="1"/>
        </xdr:cNvSpPr>
      </xdr:nvSpPr>
      <xdr:spPr bwMode="auto">
        <a:xfrm>
          <a:off x="8369300" y="4711700"/>
          <a:ext cx="3644900" cy="342900"/>
        </a:xfrm>
        <a:prstGeom prst="rect">
          <a:avLst/>
        </a:prstGeom>
        <a:solidFill>
          <a:srgbClr val="FFCC99"/>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Case 3c: More Than One Granddaughter, NO Grandsons (THIS IS SAME AS CASE 2b)</a:t>
          </a:r>
        </a:p>
      </xdr:txBody>
    </xdr:sp>
    <xdr:clientData/>
  </xdr:twoCellAnchor>
  <xdr:twoCellAnchor>
    <xdr:from>
      <xdr:col>11</xdr:col>
      <xdr:colOff>660400</xdr:colOff>
      <xdr:row>8</xdr:row>
      <xdr:rowOff>50800</xdr:rowOff>
    </xdr:from>
    <xdr:to>
      <xdr:col>17</xdr:col>
      <xdr:colOff>114300</xdr:colOff>
      <xdr:row>10</xdr:row>
      <xdr:rowOff>127000</xdr:rowOff>
    </xdr:to>
    <xdr:sp macro="" textlink="">
      <xdr:nvSpPr>
        <xdr:cNvPr id="4117" name="Rectangle 21">
          <a:hlinkClick xmlns:r="http://schemas.openxmlformats.org/officeDocument/2006/relationships" r:id="rId8"/>
        </xdr:cNvPr>
        <xdr:cNvSpPr>
          <a:spLocks noChangeArrowheads="1"/>
        </xdr:cNvSpPr>
      </xdr:nvSpPr>
      <xdr:spPr bwMode="auto">
        <a:xfrm>
          <a:off x="8369300" y="1295400"/>
          <a:ext cx="3644900" cy="381000"/>
        </a:xfrm>
        <a:prstGeom prst="rect">
          <a:avLst/>
        </a:prstGeom>
        <a:solidFill>
          <a:srgbClr val="CC99FF"/>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2: Only One Daughter, and Grandchild/ren</a:t>
          </a:r>
        </a:p>
      </xdr:txBody>
    </xdr:sp>
    <xdr:clientData/>
  </xdr:twoCellAnchor>
  <xdr:twoCellAnchor>
    <xdr:from>
      <xdr:col>11</xdr:col>
      <xdr:colOff>660400</xdr:colOff>
      <xdr:row>5</xdr:row>
      <xdr:rowOff>12700</xdr:rowOff>
    </xdr:from>
    <xdr:to>
      <xdr:col>17</xdr:col>
      <xdr:colOff>114300</xdr:colOff>
      <xdr:row>7</xdr:row>
      <xdr:rowOff>101600</xdr:rowOff>
    </xdr:to>
    <xdr:sp macro="" textlink="">
      <xdr:nvSpPr>
        <xdr:cNvPr id="4118" name="Rectangle 22">
          <a:hlinkClick xmlns:r="http://schemas.openxmlformats.org/officeDocument/2006/relationships" r:id="rId5"/>
        </xdr:cNvPr>
        <xdr:cNvSpPr>
          <a:spLocks noChangeArrowheads="1"/>
        </xdr:cNvSpPr>
      </xdr:nvSpPr>
      <xdr:spPr bwMode="auto">
        <a:xfrm>
          <a:off x="8369300" y="800100"/>
          <a:ext cx="3644900" cy="393700"/>
        </a:xfrm>
        <a:prstGeom prst="rect">
          <a:avLst/>
        </a:prstGeom>
        <a:solidFill>
          <a:srgbClr val="CCFFCC"/>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1: Only One Daughter</a:t>
          </a:r>
        </a:p>
      </xdr:txBody>
    </xdr:sp>
    <xdr:clientData/>
  </xdr:twoCellAnchor>
  <xdr:twoCellAnchor>
    <xdr:from>
      <xdr:col>11</xdr:col>
      <xdr:colOff>660400</xdr:colOff>
      <xdr:row>11</xdr:row>
      <xdr:rowOff>76200</xdr:rowOff>
    </xdr:from>
    <xdr:to>
      <xdr:col>17</xdr:col>
      <xdr:colOff>114300</xdr:colOff>
      <xdr:row>13</xdr:row>
      <xdr:rowOff>139700</xdr:rowOff>
    </xdr:to>
    <xdr:sp macro="" textlink="">
      <xdr:nvSpPr>
        <xdr:cNvPr id="4119" name="Rectangle 23">
          <a:hlinkClick xmlns:r="http://schemas.openxmlformats.org/officeDocument/2006/relationships" r:id="rId9"/>
        </xdr:cNvPr>
        <xdr:cNvSpPr>
          <a:spLocks noChangeArrowheads="1"/>
        </xdr:cNvSpPr>
      </xdr:nvSpPr>
      <xdr:spPr bwMode="auto">
        <a:xfrm>
          <a:off x="8369300" y="1778000"/>
          <a:ext cx="3644900" cy="368300"/>
        </a:xfrm>
        <a:prstGeom prst="rect">
          <a:avLst/>
        </a:prstGeom>
        <a:solidFill>
          <a:srgbClr val="99330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FFFFFF"/>
              </a:solidFill>
              <a:latin typeface="Arial"/>
              <a:ea typeface="Arial"/>
              <a:cs typeface="Arial"/>
            </a:rPr>
            <a:t>Table 3: Only One Daughter, and Sister(s)/Brother(s) OR Uncle(s), NO Parents</a:t>
          </a:r>
        </a:p>
      </xdr:txBody>
    </xdr:sp>
    <xdr:clientData/>
  </xdr:twoCellAnchor>
  <xdr:twoCellAnchor>
    <xdr:from>
      <xdr:col>11</xdr:col>
      <xdr:colOff>114300</xdr:colOff>
      <xdr:row>18</xdr:row>
      <xdr:rowOff>12700</xdr:rowOff>
    </xdr:from>
    <xdr:to>
      <xdr:col>16</xdr:col>
      <xdr:colOff>266700</xdr:colOff>
      <xdr:row>20</xdr:row>
      <xdr:rowOff>88900</xdr:rowOff>
    </xdr:to>
    <xdr:sp macro="" textlink="">
      <xdr:nvSpPr>
        <xdr:cNvPr id="4120" name="Rectangle 24">
          <a:hlinkClick xmlns:r="http://schemas.openxmlformats.org/officeDocument/2006/relationships" r:id="rId10"/>
        </xdr:cNvPr>
        <xdr:cNvSpPr>
          <a:spLocks noChangeArrowheads="1"/>
        </xdr:cNvSpPr>
      </xdr:nvSpPr>
      <xdr:spPr bwMode="auto">
        <a:xfrm>
          <a:off x="7823200" y="2781300"/>
          <a:ext cx="3644900" cy="381000"/>
        </a:xfrm>
        <a:prstGeom prst="rect">
          <a:avLst/>
        </a:prstGeom>
        <a:solidFill>
          <a:srgbClr val="339966"/>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2: More Than One Daughter, and Grandchild/ren</a:t>
          </a:r>
        </a:p>
      </xdr:txBody>
    </xdr:sp>
    <xdr:clientData/>
  </xdr:twoCellAnchor>
  <xdr:twoCellAnchor>
    <xdr:from>
      <xdr:col>11</xdr:col>
      <xdr:colOff>114300</xdr:colOff>
      <xdr:row>14</xdr:row>
      <xdr:rowOff>139700</xdr:rowOff>
    </xdr:from>
    <xdr:to>
      <xdr:col>16</xdr:col>
      <xdr:colOff>266700</xdr:colOff>
      <xdr:row>17</xdr:row>
      <xdr:rowOff>50800</xdr:rowOff>
    </xdr:to>
    <xdr:sp macro="" textlink="">
      <xdr:nvSpPr>
        <xdr:cNvPr id="4121" name="Rectangle 25">
          <a:hlinkClick xmlns:r="http://schemas.openxmlformats.org/officeDocument/2006/relationships" r:id="rId11"/>
        </xdr:cNvPr>
        <xdr:cNvSpPr>
          <a:spLocks noChangeArrowheads="1"/>
        </xdr:cNvSpPr>
      </xdr:nvSpPr>
      <xdr:spPr bwMode="auto">
        <a:xfrm>
          <a:off x="7823200" y="2298700"/>
          <a:ext cx="3644900" cy="368300"/>
        </a:xfrm>
        <a:prstGeom prst="rect">
          <a:avLst/>
        </a:prstGeom>
        <a:solidFill>
          <a:srgbClr val="1FB714"/>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1: More Than One Daughter</a:t>
          </a:r>
        </a:p>
      </xdr:txBody>
    </xdr:sp>
    <xdr:clientData/>
  </xdr:twoCellAnchor>
  <xdr:twoCellAnchor>
    <xdr:from>
      <xdr:col>11</xdr:col>
      <xdr:colOff>114300</xdr:colOff>
      <xdr:row>21</xdr:row>
      <xdr:rowOff>50800</xdr:rowOff>
    </xdr:from>
    <xdr:to>
      <xdr:col>16</xdr:col>
      <xdr:colOff>266700</xdr:colOff>
      <xdr:row>23</xdr:row>
      <xdr:rowOff>101600</xdr:rowOff>
    </xdr:to>
    <xdr:sp macro="" textlink="">
      <xdr:nvSpPr>
        <xdr:cNvPr id="4122" name="Rectangle 26">
          <a:hlinkClick xmlns:r="http://schemas.openxmlformats.org/officeDocument/2006/relationships" r:id="rId12"/>
        </xdr:cNvPr>
        <xdr:cNvSpPr>
          <a:spLocks noChangeArrowheads="1"/>
        </xdr:cNvSpPr>
      </xdr:nvSpPr>
      <xdr:spPr bwMode="auto">
        <a:xfrm>
          <a:off x="7823200" y="3276600"/>
          <a:ext cx="3644900" cy="355600"/>
        </a:xfrm>
        <a:prstGeom prst="rect">
          <a:avLst/>
        </a:prstGeom>
        <a:solidFill>
          <a:srgbClr val="00808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3: More Than  One Daughter, and Sister(s)/Brother(s) OR Uncle(s), NO Parents</a:t>
          </a:r>
        </a:p>
      </xdr:txBody>
    </xdr:sp>
    <xdr:clientData/>
  </xdr:twoCellAnchor>
  <xdr:twoCellAnchor>
    <xdr:from>
      <xdr:col>11</xdr:col>
      <xdr:colOff>114300</xdr:colOff>
      <xdr:row>37</xdr:row>
      <xdr:rowOff>63500</xdr:rowOff>
    </xdr:from>
    <xdr:to>
      <xdr:col>16</xdr:col>
      <xdr:colOff>266700</xdr:colOff>
      <xdr:row>39</xdr:row>
      <xdr:rowOff>139700</xdr:rowOff>
    </xdr:to>
    <xdr:sp macro="" textlink="">
      <xdr:nvSpPr>
        <xdr:cNvPr id="4123" name="Rectangle 27">
          <a:hlinkClick xmlns:r="http://schemas.openxmlformats.org/officeDocument/2006/relationships" r:id="rId13"/>
        </xdr:cNvPr>
        <xdr:cNvSpPr>
          <a:spLocks noChangeArrowheads="1"/>
        </xdr:cNvSpPr>
      </xdr:nvSpPr>
      <xdr:spPr bwMode="auto">
        <a:xfrm>
          <a:off x="7823200" y="5727700"/>
          <a:ext cx="3644900" cy="381000"/>
        </a:xfrm>
        <a:prstGeom prst="rect">
          <a:avLst/>
        </a:prstGeom>
        <a:solidFill>
          <a:srgbClr val="FF660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2: Mother ONLY with AT LEAST Two Siblings</a:t>
          </a:r>
        </a:p>
      </xdr:txBody>
    </xdr:sp>
    <xdr:clientData/>
  </xdr:twoCellAnchor>
  <xdr:twoCellAnchor>
    <xdr:from>
      <xdr:col>11</xdr:col>
      <xdr:colOff>114300</xdr:colOff>
      <xdr:row>34</xdr:row>
      <xdr:rowOff>76200</xdr:rowOff>
    </xdr:from>
    <xdr:to>
      <xdr:col>16</xdr:col>
      <xdr:colOff>266700</xdr:colOff>
      <xdr:row>36</xdr:row>
      <xdr:rowOff>127000</xdr:rowOff>
    </xdr:to>
    <xdr:sp macro="" textlink="">
      <xdr:nvSpPr>
        <xdr:cNvPr id="4124" name="Rectangle 28">
          <a:hlinkClick xmlns:r="http://schemas.openxmlformats.org/officeDocument/2006/relationships" r:id="rId14"/>
        </xdr:cNvPr>
        <xdr:cNvSpPr>
          <a:spLocks noChangeArrowheads="1"/>
        </xdr:cNvSpPr>
      </xdr:nvSpPr>
      <xdr:spPr bwMode="auto">
        <a:xfrm>
          <a:off x="7823200" y="5283200"/>
          <a:ext cx="3644900" cy="355600"/>
        </a:xfrm>
        <a:prstGeom prst="rect">
          <a:avLst/>
        </a:prstGeom>
        <a:solidFill>
          <a:srgbClr val="99330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FFFFFF"/>
              </a:solidFill>
              <a:latin typeface="Arial"/>
              <a:ea typeface="Arial"/>
              <a:cs typeface="Arial"/>
            </a:rPr>
            <a:t>Table 1: Father, or Mother, or Both Parents with NO OR Only ONE Sibling</a:t>
          </a:r>
        </a:p>
      </xdr:txBody>
    </xdr:sp>
    <xdr:clientData/>
  </xdr:twoCellAnchor>
  <xdr:twoCellAnchor>
    <xdr:from>
      <xdr:col>11</xdr:col>
      <xdr:colOff>114300</xdr:colOff>
      <xdr:row>40</xdr:row>
      <xdr:rowOff>88900</xdr:rowOff>
    </xdr:from>
    <xdr:to>
      <xdr:col>16</xdr:col>
      <xdr:colOff>266700</xdr:colOff>
      <xdr:row>42</xdr:row>
      <xdr:rowOff>139700</xdr:rowOff>
    </xdr:to>
    <xdr:sp macro="" textlink="">
      <xdr:nvSpPr>
        <xdr:cNvPr id="4125" name="Rectangle 29">
          <a:hlinkClick xmlns:r="http://schemas.openxmlformats.org/officeDocument/2006/relationships" r:id="rId15"/>
        </xdr:cNvPr>
        <xdr:cNvSpPr>
          <a:spLocks noChangeArrowheads="1"/>
        </xdr:cNvSpPr>
      </xdr:nvSpPr>
      <xdr:spPr bwMode="auto">
        <a:xfrm>
          <a:off x="7823200" y="6210300"/>
          <a:ext cx="3644900" cy="355600"/>
        </a:xfrm>
        <a:prstGeom prst="rect">
          <a:avLst/>
        </a:prstGeom>
        <a:solidFill>
          <a:srgbClr val="F20884"/>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3: Mother ONLY OR Mother of Mother with NO Siblings</a:t>
          </a:r>
        </a:p>
      </xdr:txBody>
    </xdr:sp>
    <xdr:clientData/>
  </xdr:twoCellAnchor>
  <xdr:twoCellAnchor>
    <xdr:from>
      <xdr:col>11</xdr:col>
      <xdr:colOff>114300</xdr:colOff>
      <xdr:row>43</xdr:row>
      <xdr:rowOff>88900</xdr:rowOff>
    </xdr:from>
    <xdr:to>
      <xdr:col>16</xdr:col>
      <xdr:colOff>266700</xdr:colOff>
      <xdr:row>46</xdr:row>
      <xdr:rowOff>0</xdr:rowOff>
    </xdr:to>
    <xdr:sp macro="" textlink="">
      <xdr:nvSpPr>
        <xdr:cNvPr id="4126" name="Rectangle 30">
          <a:hlinkClick xmlns:r="http://schemas.openxmlformats.org/officeDocument/2006/relationships" r:id="rId16"/>
        </xdr:cNvPr>
        <xdr:cNvSpPr>
          <a:spLocks noChangeArrowheads="1"/>
        </xdr:cNvSpPr>
      </xdr:nvSpPr>
      <xdr:spPr bwMode="auto">
        <a:xfrm>
          <a:off x="7823200" y="6667500"/>
          <a:ext cx="3644900" cy="368300"/>
        </a:xfrm>
        <a:prstGeom prst="rect">
          <a:avLst/>
        </a:prstGeom>
        <a:solidFill>
          <a:srgbClr val="FF990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Table 4: Mother with Father of Father with Brother(s) &amp;/or Sister(s)</a:t>
          </a:r>
        </a:p>
      </xdr:txBody>
    </xdr:sp>
    <xdr:clientData/>
  </xdr:twoCellAnchor>
  <xdr:twoCellAnchor>
    <xdr:from>
      <xdr:col>5</xdr:col>
      <xdr:colOff>558800</xdr:colOff>
      <xdr:row>4</xdr:row>
      <xdr:rowOff>76200</xdr:rowOff>
    </xdr:from>
    <xdr:to>
      <xdr:col>6</xdr:col>
      <xdr:colOff>508000</xdr:colOff>
      <xdr:row>25</xdr:row>
      <xdr:rowOff>50800</xdr:rowOff>
    </xdr:to>
    <xdr:cxnSp macro="">
      <xdr:nvCxnSpPr>
        <xdr:cNvPr id="12299" name="AutoShape 31"/>
        <xdr:cNvCxnSpPr>
          <a:cxnSpLocks noChangeShapeType="1"/>
          <a:stCxn id="4099" idx="3"/>
          <a:endCxn id="4102" idx="1"/>
        </xdr:cNvCxnSpPr>
      </xdr:nvCxnSpPr>
      <xdr:spPr bwMode="auto">
        <a:xfrm flipV="1">
          <a:off x="4076700" y="711200"/>
          <a:ext cx="647700" cy="31750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558800</xdr:colOff>
      <xdr:row>9</xdr:row>
      <xdr:rowOff>101600</xdr:rowOff>
    </xdr:from>
    <xdr:to>
      <xdr:col>6</xdr:col>
      <xdr:colOff>520700</xdr:colOff>
      <xdr:row>25</xdr:row>
      <xdr:rowOff>50800</xdr:rowOff>
    </xdr:to>
    <xdr:cxnSp macro="">
      <xdr:nvCxnSpPr>
        <xdr:cNvPr id="12300" name="AutoShape 32"/>
        <xdr:cNvCxnSpPr>
          <a:cxnSpLocks noChangeShapeType="1"/>
          <a:stCxn id="4099" idx="3"/>
          <a:endCxn id="4109" idx="1"/>
        </xdr:cNvCxnSpPr>
      </xdr:nvCxnSpPr>
      <xdr:spPr bwMode="auto">
        <a:xfrm flipV="1">
          <a:off x="4076700" y="1498600"/>
          <a:ext cx="660400" cy="2387600"/>
        </a:xfrm>
        <a:prstGeom prst="bentConnector3">
          <a:avLst>
            <a:gd name="adj1" fmla="val 4918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558800</xdr:colOff>
      <xdr:row>19</xdr:row>
      <xdr:rowOff>50800</xdr:rowOff>
    </xdr:from>
    <xdr:to>
      <xdr:col>6</xdr:col>
      <xdr:colOff>520700</xdr:colOff>
      <xdr:row>25</xdr:row>
      <xdr:rowOff>50800</xdr:rowOff>
    </xdr:to>
    <xdr:cxnSp macro="">
      <xdr:nvCxnSpPr>
        <xdr:cNvPr id="12301" name="AutoShape 33"/>
        <xdr:cNvCxnSpPr>
          <a:cxnSpLocks noChangeShapeType="1"/>
          <a:stCxn id="4099" idx="3"/>
          <a:endCxn id="4110" idx="1"/>
        </xdr:cNvCxnSpPr>
      </xdr:nvCxnSpPr>
      <xdr:spPr bwMode="auto">
        <a:xfrm flipV="1">
          <a:off x="4076700" y="2971800"/>
          <a:ext cx="660400" cy="914400"/>
        </a:xfrm>
        <a:prstGeom prst="bentConnector3">
          <a:avLst>
            <a:gd name="adj1" fmla="val 4918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558800</xdr:colOff>
      <xdr:row>25</xdr:row>
      <xdr:rowOff>50800</xdr:rowOff>
    </xdr:from>
    <xdr:to>
      <xdr:col>6</xdr:col>
      <xdr:colOff>533400</xdr:colOff>
      <xdr:row>29</xdr:row>
      <xdr:rowOff>0</xdr:rowOff>
    </xdr:to>
    <xdr:cxnSp macro="">
      <xdr:nvCxnSpPr>
        <xdr:cNvPr id="12302" name="AutoShape 34"/>
        <xdr:cNvCxnSpPr>
          <a:cxnSpLocks noChangeShapeType="1"/>
          <a:stCxn id="4099" idx="3"/>
          <a:endCxn id="4111" idx="1"/>
        </xdr:cNvCxnSpPr>
      </xdr:nvCxnSpPr>
      <xdr:spPr bwMode="auto">
        <a:xfrm>
          <a:off x="4076700" y="3886200"/>
          <a:ext cx="673100" cy="558800"/>
        </a:xfrm>
        <a:prstGeom prst="bentConnector3">
          <a:avLst>
            <a:gd name="adj1" fmla="val 48389"/>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558800</xdr:colOff>
      <xdr:row>25</xdr:row>
      <xdr:rowOff>50800</xdr:rowOff>
    </xdr:from>
    <xdr:to>
      <xdr:col>6</xdr:col>
      <xdr:colOff>520700</xdr:colOff>
      <xdr:row>38</xdr:row>
      <xdr:rowOff>114300</xdr:rowOff>
    </xdr:to>
    <xdr:cxnSp macro="">
      <xdr:nvCxnSpPr>
        <xdr:cNvPr id="12303" name="AutoShape 35"/>
        <xdr:cNvCxnSpPr>
          <a:cxnSpLocks noChangeShapeType="1"/>
          <a:stCxn id="4099" idx="3"/>
          <a:endCxn id="4112" idx="1"/>
        </xdr:cNvCxnSpPr>
      </xdr:nvCxnSpPr>
      <xdr:spPr bwMode="auto">
        <a:xfrm>
          <a:off x="4076700" y="3886200"/>
          <a:ext cx="660400" cy="2044700"/>
        </a:xfrm>
        <a:prstGeom prst="bentConnector3">
          <a:avLst>
            <a:gd name="adj1" fmla="val 49181"/>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558800</xdr:colOff>
      <xdr:row>25</xdr:row>
      <xdr:rowOff>50800</xdr:rowOff>
    </xdr:from>
    <xdr:to>
      <xdr:col>6</xdr:col>
      <xdr:colOff>508000</xdr:colOff>
      <xdr:row>45</xdr:row>
      <xdr:rowOff>12700</xdr:rowOff>
    </xdr:to>
    <xdr:cxnSp macro="">
      <xdr:nvCxnSpPr>
        <xdr:cNvPr id="12304" name="AutoShape 36"/>
        <xdr:cNvCxnSpPr>
          <a:cxnSpLocks noChangeShapeType="1"/>
          <a:stCxn id="4099" idx="3"/>
          <a:endCxn id="4113" idx="1"/>
        </xdr:cNvCxnSpPr>
      </xdr:nvCxnSpPr>
      <xdr:spPr bwMode="auto">
        <a:xfrm>
          <a:off x="4076700" y="3886200"/>
          <a:ext cx="647700" cy="30099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50800</xdr:colOff>
      <xdr:row>8</xdr:row>
      <xdr:rowOff>50800</xdr:rowOff>
    </xdr:from>
    <xdr:to>
      <xdr:col>1</xdr:col>
      <xdr:colOff>228600</xdr:colOff>
      <xdr:row>25</xdr:row>
      <xdr:rowOff>50800</xdr:rowOff>
    </xdr:to>
    <xdr:cxnSp macro="">
      <xdr:nvCxnSpPr>
        <xdr:cNvPr id="12305" name="AutoShape 37"/>
        <xdr:cNvCxnSpPr>
          <a:cxnSpLocks noChangeShapeType="1"/>
          <a:stCxn id="4098" idx="1"/>
          <a:endCxn id="4155" idx="2"/>
        </xdr:cNvCxnSpPr>
      </xdr:nvCxnSpPr>
      <xdr:spPr bwMode="auto">
        <a:xfrm rot="10800000" flipH="1">
          <a:off x="749300" y="1295400"/>
          <a:ext cx="177800" cy="2590800"/>
        </a:xfrm>
        <a:prstGeom prst="bentConnector4">
          <a:avLst>
            <a:gd name="adj1" fmla="val -143750"/>
            <a:gd name="adj2" fmla="val 53449"/>
          </a:avLst>
        </a:prstGeom>
        <a:noFill/>
        <a:ln w="9525">
          <a:solidFill>
            <a:srgbClr val="000000"/>
          </a:solidFill>
          <a:miter lim="800000"/>
          <a:headEnd type="triangle" w="med" len="med"/>
          <a:tailEnd/>
        </a:ln>
        <a:extLst>
          <a:ext uri="{909E8E84-426E-40dd-AFC4-6F175D3DCCD1}">
            <a14:hiddenFill xmlns:a14="http://schemas.microsoft.com/office/drawing/2010/main">
              <a:noFill/>
            </a14:hiddenFill>
          </a:ext>
        </a:extLst>
      </xdr:spPr>
    </xdr:cxnSp>
    <xdr:clientData/>
  </xdr:twoCellAnchor>
  <xdr:twoCellAnchor>
    <xdr:from>
      <xdr:col>3</xdr:col>
      <xdr:colOff>203200</xdr:colOff>
      <xdr:row>25</xdr:row>
      <xdr:rowOff>50800</xdr:rowOff>
    </xdr:from>
    <xdr:to>
      <xdr:col>3</xdr:col>
      <xdr:colOff>419100</xdr:colOff>
      <xdr:row>25</xdr:row>
      <xdr:rowOff>50800</xdr:rowOff>
    </xdr:to>
    <xdr:cxnSp macro="">
      <xdr:nvCxnSpPr>
        <xdr:cNvPr id="12306" name="AutoShape 38"/>
        <xdr:cNvCxnSpPr>
          <a:cxnSpLocks noChangeShapeType="1"/>
          <a:stCxn id="4098" idx="3"/>
          <a:endCxn id="4099" idx="1"/>
        </xdr:cNvCxnSpPr>
      </xdr:nvCxnSpPr>
      <xdr:spPr bwMode="auto">
        <a:xfrm>
          <a:off x="2298700" y="3886200"/>
          <a:ext cx="2159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6</xdr:row>
      <xdr:rowOff>63500</xdr:rowOff>
    </xdr:from>
    <xdr:to>
      <xdr:col>11</xdr:col>
      <xdr:colOff>647700</xdr:colOff>
      <xdr:row>9</xdr:row>
      <xdr:rowOff>101600</xdr:rowOff>
    </xdr:to>
    <xdr:cxnSp macro="">
      <xdr:nvCxnSpPr>
        <xdr:cNvPr id="12307" name="AutoShape 39"/>
        <xdr:cNvCxnSpPr>
          <a:cxnSpLocks noChangeShapeType="1"/>
          <a:stCxn id="4109" idx="3"/>
          <a:endCxn id="4118" idx="1"/>
        </xdr:cNvCxnSpPr>
      </xdr:nvCxnSpPr>
      <xdr:spPr bwMode="auto">
        <a:xfrm flipV="1">
          <a:off x="7023100" y="1003300"/>
          <a:ext cx="1333500" cy="4953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9</xdr:row>
      <xdr:rowOff>88900</xdr:rowOff>
    </xdr:from>
    <xdr:to>
      <xdr:col>11</xdr:col>
      <xdr:colOff>647700</xdr:colOff>
      <xdr:row>9</xdr:row>
      <xdr:rowOff>101600</xdr:rowOff>
    </xdr:to>
    <xdr:cxnSp macro="">
      <xdr:nvCxnSpPr>
        <xdr:cNvPr id="12308" name="AutoShape 40"/>
        <xdr:cNvCxnSpPr>
          <a:cxnSpLocks noChangeShapeType="1"/>
          <a:stCxn id="4109" idx="3"/>
          <a:endCxn id="4117" idx="1"/>
        </xdr:cNvCxnSpPr>
      </xdr:nvCxnSpPr>
      <xdr:spPr bwMode="auto">
        <a:xfrm flipV="1">
          <a:off x="7023100" y="1485900"/>
          <a:ext cx="1333500" cy="127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9</xdr:row>
      <xdr:rowOff>101600</xdr:rowOff>
    </xdr:from>
    <xdr:to>
      <xdr:col>11</xdr:col>
      <xdr:colOff>647700</xdr:colOff>
      <xdr:row>12</xdr:row>
      <xdr:rowOff>101600</xdr:rowOff>
    </xdr:to>
    <xdr:cxnSp macro="">
      <xdr:nvCxnSpPr>
        <xdr:cNvPr id="12309" name="AutoShape 41"/>
        <xdr:cNvCxnSpPr>
          <a:cxnSpLocks noChangeShapeType="1"/>
          <a:stCxn id="4109" idx="3"/>
          <a:endCxn id="4119" idx="1"/>
        </xdr:cNvCxnSpPr>
      </xdr:nvCxnSpPr>
      <xdr:spPr bwMode="auto">
        <a:xfrm>
          <a:off x="7023100" y="1498600"/>
          <a:ext cx="1333500" cy="4572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25400</xdr:colOff>
      <xdr:row>25</xdr:row>
      <xdr:rowOff>139700</xdr:rowOff>
    </xdr:from>
    <xdr:to>
      <xdr:col>11</xdr:col>
      <xdr:colOff>660400</xdr:colOff>
      <xdr:row>29</xdr:row>
      <xdr:rowOff>0</xdr:rowOff>
    </xdr:to>
    <xdr:cxnSp macro="">
      <xdr:nvCxnSpPr>
        <xdr:cNvPr id="12310" name="AutoShape 42"/>
        <xdr:cNvCxnSpPr>
          <a:cxnSpLocks noChangeShapeType="1"/>
          <a:stCxn id="4111" idx="3"/>
          <a:endCxn id="4115" idx="1"/>
        </xdr:cNvCxnSpPr>
      </xdr:nvCxnSpPr>
      <xdr:spPr bwMode="auto">
        <a:xfrm flipV="1">
          <a:off x="7035800" y="3975100"/>
          <a:ext cx="1333500" cy="4699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25400</xdr:colOff>
      <xdr:row>29</xdr:row>
      <xdr:rowOff>0</xdr:rowOff>
    </xdr:from>
    <xdr:to>
      <xdr:col>11</xdr:col>
      <xdr:colOff>660400</xdr:colOff>
      <xdr:row>29</xdr:row>
      <xdr:rowOff>0</xdr:rowOff>
    </xdr:to>
    <xdr:cxnSp macro="">
      <xdr:nvCxnSpPr>
        <xdr:cNvPr id="12311" name="AutoShape 43"/>
        <xdr:cNvCxnSpPr>
          <a:cxnSpLocks noChangeShapeType="1"/>
          <a:stCxn id="4111" idx="3"/>
          <a:endCxn id="4114" idx="1"/>
        </xdr:cNvCxnSpPr>
      </xdr:nvCxnSpPr>
      <xdr:spPr bwMode="auto">
        <a:xfrm>
          <a:off x="7035800" y="4445000"/>
          <a:ext cx="13335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25400</xdr:colOff>
      <xdr:row>29</xdr:row>
      <xdr:rowOff>0</xdr:rowOff>
    </xdr:from>
    <xdr:to>
      <xdr:col>11</xdr:col>
      <xdr:colOff>660400</xdr:colOff>
      <xdr:row>31</xdr:row>
      <xdr:rowOff>139700</xdr:rowOff>
    </xdr:to>
    <xdr:cxnSp macro="">
      <xdr:nvCxnSpPr>
        <xdr:cNvPr id="12312" name="AutoShape 44"/>
        <xdr:cNvCxnSpPr>
          <a:cxnSpLocks noChangeShapeType="1"/>
          <a:stCxn id="4111" idx="3"/>
          <a:endCxn id="4116" idx="1"/>
        </xdr:cNvCxnSpPr>
      </xdr:nvCxnSpPr>
      <xdr:spPr bwMode="auto">
        <a:xfrm>
          <a:off x="7035800" y="4445000"/>
          <a:ext cx="1333500" cy="444500"/>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35</xdr:row>
      <xdr:rowOff>101600</xdr:rowOff>
    </xdr:from>
    <xdr:to>
      <xdr:col>11</xdr:col>
      <xdr:colOff>114300</xdr:colOff>
      <xdr:row>38</xdr:row>
      <xdr:rowOff>114300</xdr:rowOff>
    </xdr:to>
    <xdr:cxnSp macro="">
      <xdr:nvCxnSpPr>
        <xdr:cNvPr id="12313" name="AutoShape 45"/>
        <xdr:cNvCxnSpPr>
          <a:cxnSpLocks noChangeShapeType="1"/>
          <a:stCxn id="4112" idx="3"/>
          <a:endCxn id="4124" idx="1"/>
        </xdr:cNvCxnSpPr>
      </xdr:nvCxnSpPr>
      <xdr:spPr bwMode="auto">
        <a:xfrm flipV="1">
          <a:off x="7023100" y="5461000"/>
          <a:ext cx="800100" cy="4699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38</xdr:row>
      <xdr:rowOff>101600</xdr:rowOff>
    </xdr:from>
    <xdr:to>
      <xdr:col>11</xdr:col>
      <xdr:colOff>114300</xdr:colOff>
      <xdr:row>38</xdr:row>
      <xdr:rowOff>114300</xdr:rowOff>
    </xdr:to>
    <xdr:cxnSp macro="">
      <xdr:nvCxnSpPr>
        <xdr:cNvPr id="12314" name="AutoShape 46"/>
        <xdr:cNvCxnSpPr>
          <a:cxnSpLocks noChangeShapeType="1"/>
          <a:stCxn id="4112" idx="3"/>
          <a:endCxn id="4123" idx="1"/>
        </xdr:cNvCxnSpPr>
      </xdr:nvCxnSpPr>
      <xdr:spPr bwMode="auto">
        <a:xfrm flipV="1">
          <a:off x="7023100" y="5918200"/>
          <a:ext cx="800100" cy="127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38</xdr:row>
      <xdr:rowOff>114300</xdr:rowOff>
    </xdr:from>
    <xdr:to>
      <xdr:col>11</xdr:col>
      <xdr:colOff>114300</xdr:colOff>
      <xdr:row>41</xdr:row>
      <xdr:rowOff>114300</xdr:rowOff>
    </xdr:to>
    <xdr:cxnSp macro="">
      <xdr:nvCxnSpPr>
        <xdr:cNvPr id="12315" name="AutoShape 47"/>
        <xdr:cNvCxnSpPr>
          <a:cxnSpLocks noChangeShapeType="1"/>
          <a:stCxn id="4112" idx="3"/>
          <a:endCxn id="4125" idx="1"/>
        </xdr:cNvCxnSpPr>
      </xdr:nvCxnSpPr>
      <xdr:spPr bwMode="auto">
        <a:xfrm>
          <a:off x="7023100" y="5930900"/>
          <a:ext cx="800100" cy="4572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38</xdr:row>
      <xdr:rowOff>114300</xdr:rowOff>
    </xdr:from>
    <xdr:to>
      <xdr:col>11</xdr:col>
      <xdr:colOff>114300</xdr:colOff>
      <xdr:row>44</xdr:row>
      <xdr:rowOff>127000</xdr:rowOff>
    </xdr:to>
    <xdr:cxnSp macro="">
      <xdr:nvCxnSpPr>
        <xdr:cNvPr id="12316" name="AutoShape 51"/>
        <xdr:cNvCxnSpPr>
          <a:cxnSpLocks noChangeShapeType="1"/>
          <a:stCxn id="4112" idx="3"/>
          <a:endCxn id="4126" idx="1"/>
        </xdr:cNvCxnSpPr>
      </xdr:nvCxnSpPr>
      <xdr:spPr bwMode="auto">
        <a:xfrm>
          <a:off x="7023100" y="5930900"/>
          <a:ext cx="800100" cy="9271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16</xdr:row>
      <xdr:rowOff>12700</xdr:rowOff>
    </xdr:from>
    <xdr:to>
      <xdr:col>11</xdr:col>
      <xdr:colOff>114300</xdr:colOff>
      <xdr:row>19</xdr:row>
      <xdr:rowOff>50800</xdr:rowOff>
    </xdr:to>
    <xdr:cxnSp macro="">
      <xdr:nvCxnSpPr>
        <xdr:cNvPr id="12317" name="AutoShape 52"/>
        <xdr:cNvCxnSpPr>
          <a:cxnSpLocks noChangeShapeType="1"/>
          <a:stCxn id="4110" idx="3"/>
          <a:endCxn id="4121" idx="1"/>
        </xdr:cNvCxnSpPr>
      </xdr:nvCxnSpPr>
      <xdr:spPr bwMode="auto">
        <a:xfrm flipV="1">
          <a:off x="7023100" y="2476500"/>
          <a:ext cx="800100" cy="4953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19</xdr:row>
      <xdr:rowOff>50800</xdr:rowOff>
    </xdr:from>
    <xdr:to>
      <xdr:col>11</xdr:col>
      <xdr:colOff>114300</xdr:colOff>
      <xdr:row>19</xdr:row>
      <xdr:rowOff>50800</xdr:rowOff>
    </xdr:to>
    <xdr:cxnSp macro="">
      <xdr:nvCxnSpPr>
        <xdr:cNvPr id="12318" name="AutoShape 53"/>
        <xdr:cNvCxnSpPr>
          <a:cxnSpLocks noChangeShapeType="1"/>
          <a:stCxn id="4110" idx="3"/>
          <a:endCxn id="4120" idx="1"/>
        </xdr:cNvCxnSpPr>
      </xdr:nvCxnSpPr>
      <xdr:spPr bwMode="auto">
        <a:xfrm>
          <a:off x="7023100" y="2971800"/>
          <a:ext cx="8001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10</xdr:col>
      <xdr:colOff>12700</xdr:colOff>
      <xdr:row>19</xdr:row>
      <xdr:rowOff>50800</xdr:rowOff>
    </xdr:from>
    <xdr:to>
      <xdr:col>11</xdr:col>
      <xdr:colOff>114300</xdr:colOff>
      <xdr:row>22</xdr:row>
      <xdr:rowOff>76200</xdr:rowOff>
    </xdr:to>
    <xdr:cxnSp macro="">
      <xdr:nvCxnSpPr>
        <xdr:cNvPr id="12319" name="AutoShape 54"/>
        <xdr:cNvCxnSpPr>
          <a:cxnSpLocks noChangeShapeType="1"/>
          <a:stCxn id="4110" idx="3"/>
          <a:endCxn id="4122" idx="1"/>
        </xdr:cNvCxnSpPr>
      </xdr:nvCxnSpPr>
      <xdr:spPr bwMode="auto">
        <a:xfrm>
          <a:off x="7023100" y="2971800"/>
          <a:ext cx="800100" cy="482600"/>
        </a:xfrm>
        <a:prstGeom prst="bentConnector3">
          <a:avLst>
            <a:gd name="adj1" fmla="val 49315"/>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596900</xdr:colOff>
      <xdr:row>30</xdr:row>
      <xdr:rowOff>76200</xdr:rowOff>
    </xdr:from>
    <xdr:to>
      <xdr:col>9</xdr:col>
      <xdr:colOff>660400</xdr:colOff>
      <xdr:row>35</xdr:row>
      <xdr:rowOff>76200</xdr:rowOff>
    </xdr:to>
    <xdr:sp macro="" textlink="">
      <xdr:nvSpPr>
        <xdr:cNvPr id="4152" name="Rectangle 56"/>
        <xdr:cNvSpPr>
          <a:spLocks noChangeArrowheads="1"/>
        </xdr:cNvSpPr>
      </xdr:nvSpPr>
      <xdr:spPr bwMode="auto">
        <a:xfrm>
          <a:off x="4813300" y="4673600"/>
          <a:ext cx="2159000" cy="762000"/>
        </a:xfrm>
        <a:prstGeom prst="rect">
          <a:avLst/>
        </a:prstGeom>
        <a:solidFill>
          <a:srgbClr val="C0C0C0"/>
        </a:solidFill>
        <a:ln w="9525">
          <a:noFill/>
          <a:prstDash val="lgDash"/>
          <a:miter lim="800000"/>
          <a:headEnd/>
          <a:tailEnd/>
        </a:ln>
      </xdr:spPr>
      <xdr:txBody>
        <a:bodyPr vertOverflow="clip" wrap="square" lIns="27432" tIns="22860" rIns="0" bIns="0" anchor="t" upright="1"/>
        <a:lstStyle/>
        <a:p>
          <a:pPr algn="l" rtl="0">
            <a:defRPr sz="1000"/>
          </a:pPr>
          <a:r>
            <a:rPr lang="en-US" sz="1200" b="0" i="0" u="none" strike="noStrike" baseline="0">
              <a:solidFill>
                <a:srgbClr val="000000"/>
              </a:solidFill>
              <a:latin typeface="Arial"/>
              <a:ea typeface="Arial"/>
              <a:cs typeface="Arial"/>
            </a:rPr>
            <a:t>NOTE for 3a, 3b, and 3c: </a:t>
          </a:r>
        </a:p>
        <a:p>
          <a:pPr algn="l" rtl="0">
            <a:defRPr sz="1000"/>
          </a:pPr>
          <a:r>
            <a:rPr lang="en-US" sz="1200" b="0" i="0" u="none" strike="noStrike" baseline="0">
              <a:solidFill>
                <a:srgbClr val="000000"/>
              </a:solidFill>
              <a:latin typeface="Arial"/>
              <a:ea typeface="Arial"/>
              <a:cs typeface="Arial"/>
            </a:rPr>
            <a:t>Substitute Daughter(s) of Son(s) for Daughter(s) AND Son(s) of Son(s) for Son(s)</a:t>
          </a:r>
        </a:p>
      </xdr:txBody>
    </xdr:sp>
    <xdr:clientData/>
  </xdr:twoCellAnchor>
  <xdr:twoCellAnchor>
    <xdr:from>
      <xdr:col>18</xdr:col>
      <xdr:colOff>215900</xdr:colOff>
      <xdr:row>31</xdr:row>
      <xdr:rowOff>12700</xdr:rowOff>
    </xdr:from>
    <xdr:to>
      <xdr:col>22</xdr:col>
      <xdr:colOff>546100</xdr:colOff>
      <xdr:row>44</xdr:row>
      <xdr:rowOff>50800</xdr:rowOff>
    </xdr:to>
    <xdr:sp macro="" textlink="">
      <xdr:nvSpPr>
        <xdr:cNvPr id="4153" name="Rectangle 57"/>
        <xdr:cNvSpPr>
          <a:spLocks noChangeArrowheads="1"/>
        </xdr:cNvSpPr>
      </xdr:nvSpPr>
      <xdr:spPr bwMode="auto">
        <a:xfrm>
          <a:off x="12814300" y="4762500"/>
          <a:ext cx="3124200" cy="2019300"/>
        </a:xfrm>
        <a:prstGeom prst="rect">
          <a:avLst/>
        </a:prstGeom>
        <a:solidFill>
          <a:srgbClr val="C0C0C0"/>
        </a:solidFill>
        <a:ln w="38100">
          <a:solidFill>
            <a:srgbClr val="000000"/>
          </a:solidFill>
          <a:miter lim="800000"/>
          <a:headEnd/>
          <a:tailEnd/>
        </a:ln>
      </xdr:spPr>
      <xdr:txBody>
        <a:bodyPr vertOverflow="clip" wrap="square" lIns="27432" tIns="18288" rIns="0" bIns="0" anchor="t" upright="1"/>
        <a:lstStyle/>
        <a:p>
          <a:pPr algn="l" rtl="0">
            <a:defRPr sz="1000"/>
          </a:pPr>
          <a:r>
            <a:rPr lang="en-US" sz="1000" b="1" i="0" u="none" strike="noStrike" baseline="0">
              <a:solidFill>
                <a:srgbClr val="000000"/>
              </a:solidFill>
              <a:latin typeface="Arial"/>
              <a:ea typeface="Arial"/>
              <a:cs typeface="Arial"/>
            </a:rPr>
            <a:t>Step4: CONSULT A RELIGIOUS SCHOLAR or ISNA</a:t>
          </a:r>
        </a:p>
        <a:p>
          <a:pPr algn="l" rtl="0">
            <a:defRPr sz="1000"/>
          </a:pPr>
          <a:endParaRPr lang="en-US" sz="1000" b="1" i="0" u="none" strike="noStrike" baseline="0">
            <a:solidFill>
              <a:srgbClr val="000000"/>
            </a:solidFill>
            <a:latin typeface="Arial"/>
            <a:ea typeface="Arial"/>
            <a:cs typeface="Arial"/>
          </a:endParaRPr>
        </a:p>
        <a:p>
          <a:pPr algn="l" rtl="0">
            <a:defRPr sz="1000"/>
          </a:pPr>
          <a:r>
            <a:rPr lang="en-US" sz="1000" b="1" i="0" u="none" strike="noStrike" baseline="0">
              <a:solidFill>
                <a:srgbClr val="000000"/>
              </a:solidFill>
              <a:latin typeface="Arial"/>
              <a:ea typeface="Arial"/>
              <a:cs typeface="Arial"/>
            </a:rPr>
            <a:t>After calculating the due share of living relatives, consult a religious scholar, likewise, if your case does fit neatly into one of the cases listed here, please consult a religious scholar,</a:t>
          </a:r>
        </a:p>
        <a:p>
          <a:pPr algn="l" rtl="0">
            <a:defRPr sz="1000"/>
          </a:pPr>
          <a:endParaRPr lang="en-US" sz="1000" b="1" i="0" u="none" strike="noStrike" baseline="0">
            <a:solidFill>
              <a:srgbClr val="000000"/>
            </a:solidFill>
            <a:latin typeface="Arial"/>
            <a:ea typeface="Arial"/>
            <a:cs typeface="Arial"/>
          </a:endParaRPr>
        </a:p>
        <a:p>
          <a:pPr algn="l" rtl="0">
            <a:defRPr sz="1000"/>
          </a:pPr>
          <a:r>
            <a:rPr lang="en-US" sz="1000" b="1" i="0" u="none" strike="noStrike" baseline="0">
              <a:solidFill>
                <a:srgbClr val="000000"/>
              </a:solidFill>
              <a:latin typeface="Arial"/>
              <a:ea typeface="Arial"/>
              <a:cs typeface="Arial"/>
            </a:rPr>
            <a:t>As per ISNA Schedule, all relatives not mentioned in cases 1 through 5 must be disregarded.</a:t>
          </a:r>
        </a:p>
      </xdr:txBody>
    </xdr:sp>
    <xdr:clientData/>
  </xdr:twoCellAnchor>
  <xdr:twoCellAnchor>
    <xdr:from>
      <xdr:col>3</xdr:col>
      <xdr:colOff>419100</xdr:colOff>
      <xdr:row>12</xdr:row>
      <xdr:rowOff>139700</xdr:rowOff>
    </xdr:from>
    <xdr:to>
      <xdr:col>5</xdr:col>
      <xdr:colOff>444500</xdr:colOff>
      <xdr:row>22</xdr:row>
      <xdr:rowOff>38100</xdr:rowOff>
    </xdr:to>
    <xdr:sp macro="" textlink="">
      <xdr:nvSpPr>
        <xdr:cNvPr id="4154" name="Rectangle 58">
          <a:hlinkClick xmlns:r="http://schemas.openxmlformats.org/officeDocument/2006/relationships" r:id="rId17"/>
        </xdr:cNvPr>
        <xdr:cNvSpPr>
          <a:spLocks noChangeArrowheads="1"/>
        </xdr:cNvSpPr>
      </xdr:nvSpPr>
      <xdr:spPr bwMode="auto">
        <a:xfrm>
          <a:off x="2514600" y="1993900"/>
          <a:ext cx="1447800" cy="1422400"/>
        </a:xfrm>
        <a:prstGeom prst="rect">
          <a:avLst/>
        </a:prstGeom>
        <a:gradFill rotWithShape="1">
          <a:gsLst>
            <a:gs pos="0">
              <a:srgbClr val="FFFF99"/>
            </a:gs>
            <a:gs pos="100000">
              <a:srgbClr val="1FB714"/>
            </a:gs>
          </a:gsLst>
          <a:lin ang="0" scaled="1"/>
        </a:gradFill>
        <a:ln w="38100">
          <a:solidFill>
            <a:srgbClr val="000000"/>
          </a:solidFill>
          <a:prstDash val="sysDot"/>
          <a:miter lim="800000"/>
          <a:headEnd/>
          <a:tailEnd/>
        </a:ln>
        <a:effectLst/>
      </xdr:spPr>
      <xdr:txBody>
        <a:bodyPr vertOverflow="clip" wrap="square" lIns="27432" tIns="22860" rIns="0" bIns="22860" anchor="ctr" upright="1"/>
        <a:lstStyle/>
        <a:p>
          <a:pPr algn="l" rtl="0">
            <a:defRPr sz="1000"/>
          </a:pPr>
          <a:r>
            <a:rPr lang="en-US" sz="1200" b="0" i="1" u="sng" strike="noStrike">
              <a:solidFill>
                <a:srgbClr val="000000"/>
              </a:solidFill>
              <a:latin typeface="Arial"/>
              <a:ea typeface="Arial"/>
              <a:cs typeface="Arial"/>
            </a:rPr>
            <a:t>Click here</a:t>
          </a:r>
          <a:r>
            <a:rPr lang="en-US" sz="1200" b="0" i="0" strike="noStrike">
              <a:solidFill>
                <a:srgbClr val="000000"/>
              </a:solidFill>
              <a:latin typeface="Arial"/>
              <a:ea typeface="Arial"/>
              <a:cs typeface="Arial"/>
            </a:rPr>
            <a:t> to go to Islamic Rules of Inheritance, per Islamic Society of North America (ISNA).</a:t>
          </a:r>
        </a:p>
      </xdr:txBody>
    </xdr:sp>
    <xdr:clientData/>
  </xdr:twoCellAnchor>
  <xdr:twoCellAnchor>
    <xdr:from>
      <xdr:col>0</xdr:col>
      <xdr:colOff>165100</xdr:colOff>
      <xdr:row>5</xdr:row>
      <xdr:rowOff>139700</xdr:rowOff>
    </xdr:from>
    <xdr:to>
      <xdr:col>2</xdr:col>
      <xdr:colOff>292100</xdr:colOff>
      <xdr:row>8</xdr:row>
      <xdr:rowOff>38100</xdr:rowOff>
    </xdr:to>
    <xdr:sp macro="" textlink="">
      <xdr:nvSpPr>
        <xdr:cNvPr id="4155" name="Rectangle 59">
          <a:hlinkClick xmlns:r="http://schemas.openxmlformats.org/officeDocument/2006/relationships" r:id="rId18"/>
        </xdr:cNvPr>
        <xdr:cNvSpPr>
          <a:spLocks noChangeArrowheads="1"/>
        </xdr:cNvSpPr>
      </xdr:nvSpPr>
      <xdr:spPr bwMode="auto">
        <a:xfrm>
          <a:off x="165100" y="927100"/>
          <a:ext cx="1524000" cy="355600"/>
        </a:xfrm>
        <a:prstGeom prst="rect">
          <a:avLst/>
        </a:prstGeom>
        <a:solidFill>
          <a:srgbClr val="C0C0C0"/>
        </a:solidFill>
        <a:ln w="28575">
          <a:solidFill>
            <a:srgbClr val="000000"/>
          </a:solidFill>
          <a:prstDash val="sysDot"/>
          <a:miter lim="800000"/>
          <a:headEnd/>
          <a:tailEnd/>
        </a:ln>
        <a:effectLst/>
      </xdr:spPr>
      <xdr:txBody>
        <a:bodyPr vertOverflow="clip" wrap="square" lIns="27432" tIns="18288" rIns="0" bIns="0" anchor="t" upright="1"/>
        <a:lstStyle/>
        <a:p>
          <a:pPr algn="l" rtl="0">
            <a:defRPr sz="1000"/>
          </a:pPr>
          <a:r>
            <a:rPr lang="en-US" sz="1000" b="0" i="0" strike="noStrike">
              <a:solidFill>
                <a:srgbClr val="000000"/>
              </a:solidFill>
              <a:latin typeface="Arial"/>
              <a:ea typeface="Arial"/>
              <a:cs typeface="Arial"/>
            </a:rPr>
            <a:t>Instructions</a:t>
          </a:r>
        </a:p>
      </xdr:txBody>
    </xdr:sp>
    <xdr:clientData/>
  </xdr:twoCellAnchor>
  <xdr:twoCellAnchor>
    <xdr:from>
      <xdr:col>2</xdr:col>
      <xdr:colOff>304800</xdr:colOff>
      <xdr:row>4</xdr:row>
      <xdr:rowOff>12700</xdr:rowOff>
    </xdr:from>
    <xdr:to>
      <xdr:col>2</xdr:col>
      <xdr:colOff>317500</xdr:colOff>
      <xdr:row>7</xdr:row>
      <xdr:rowOff>12700</xdr:rowOff>
    </xdr:to>
    <xdr:cxnSp macro="">
      <xdr:nvCxnSpPr>
        <xdr:cNvPr id="12324" name="AutoShape 60"/>
        <xdr:cNvCxnSpPr>
          <a:cxnSpLocks noChangeShapeType="1"/>
          <a:stCxn id="4097" idx="3"/>
          <a:endCxn id="4155" idx="3"/>
        </xdr:cNvCxnSpPr>
      </xdr:nvCxnSpPr>
      <xdr:spPr bwMode="auto">
        <a:xfrm>
          <a:off x="1701800" y="647700"/>
          <a:ext cx="12700" cy="457200"/>
        </a:xfrm>
        <a:prstGeom prst="bentConnector3">
          <a:avLst>
            <a:gd name="adj1" fmla="val 230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533400</xdr:colOff>
      <xdr:row>28</xdr:row>
      <xdr:rowOff>139700</xdr:rowOff>
    </xdr:from>
    <xdr:to>
      <xdr:col>4</xdr:col>
      <xdr:colOff>685800</xdr:colOff>
      <xdr:row>30</xdr:row>
      <xdr:rowOff>50800</xdr:rowOff>
    </xdr:to>
    <xdr:sp macro="" textlink="">
      <xdr:nvSpPr>
        <xdr:cNvPr id="4157" name="AutoShape 61"/>
        <xdr:cNvSpPr>
          <a:spLocks noChangeArrowheads="1"/>
        </xdr:cNvSpPr>
      </xdr:nvSpPr>
      <xdr:spPr bwMode="auto">
        <a:xfrm>
          <a:off x="1930400" y="4432300"/>
          <a:ext cx="1549400" cy="215900"/>
        </a:xfrm>
        <a:prstGeom prst="wedgeRectCallout">
          <a:avLst>
            <a:gd name="adj1" fmla="val 72537"/>
            <a:gd name="adj2" fmla="val -270833"/>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en-US" sz="1000" b="0" i="0" strike="noStrike">
              <a:solidFill>
                <a:srgbClr val="000000"/>
              </a:solidFill>
              <a:latin typeface="Arial"/>
              <a:ea typeface="Arial"/>
              <a:cs typeface="Arial"/>
            </a:rPr>
            <a:t>YOU ARE HERE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177800</xdr:colOff>
      <xdr:row>1</xdr:row>
      <xdr:rowOff>12700</xdr:rowOff>
    </xdr:from>
    <xdr:to>
      <xdr:col>17</xdr:col>
      <xdr:colOff>0</xdr:colOff>
      <xdr:row>4</xdr:row>
      <xdr:rowOff>139700</xdr:rowOff>
    </xdr:to>
    <xdr:sp macro="" textlink="">
      <xdr:nvSpPr>
        <xdr:cNvPr id="5122" name="Rectangle 2"/>
        <xdr:cNvSpPr>
          <a:spLocks noChangeArrowheads="1"/>
        </xdr:cNvSpPr>
      </xdr:nvSpPr>
      <xdr:spPr bwMode="auto">
        <a:xfrm>
          <a:off x="6426200" y="177800"/>
          <a:ext cx="6845300" cy="622300"/>
        </a:xfrm>
        <a:prstGeom prst="rect">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NOTE: </a:t>
          </a:r>
        </a:p>
        <a:p>
          <a:pPr algn="l" rtl="0">
            <a:defRPr sz="1000"/>
          </a:pPr>
          <a:r>
            <a:rPr lang="en-US" sz="1000" b="0" i="0" u="none" strike="noStrike" baseline="0">
              <a:solidFill>
                <a:srgbClr val="000000"/>
              </a:solidFill>
              <a:latin typeface="Arial"/>
              <a:ea typeface="Arial"/>
              <a:cs typeface="Arial"/>
            </a:rPr>
            <a:t>If your case is:</a:t>
          </a:r>
          <a:r>
            <a:rPr lang="en-US" sz="1000" b="1" i="0" u="none" strike="noStrike" baseline="0">
              <a:solidFill>
                <a:srgbClr val="000000"/>
              </a:solidFill>
              <a:latin typeface="Arial"/>
              <a:ea typeface="Arial"/>
              <a:cs typeface="Arial"/>
            </a:rPr>
            <a:t> [Case 3b: One Granddaughter, NO Grandsons]</a:t>
          </a:r>
          <a:r>
            <a:rPr lang="en-US" sz="1000" b="0" i="0" u="none" strike="noStrike" baseline="0">
              <a:solidFill>
                <a:srgbClr val="000000"/>
              </a:solidFill>
              <a:latin typeface="Arial"/>
              <a:ea typeface="Arial"/>
              <a:cs typeface="Arial"/>
            </a:rPr>
            <a:t>, select 1) the table that best fits your situation, and 2) then Substitute Daughter(s) of Son(s) for Daughter(s) AND Son(s) of Son(s) for Son(s)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127000</xdr:colOff>
      <xdr:row>1</xdr:row>
      <xdr:rowOff>12700</xdr:rowOff>
    </xdr:from>
    <xdr:to>
      <xdr:col>17</xdr:col>
      <xdr:colOff>203200</xdr:colOff>
      <xdr:row>4</xdr:row>
      <xdr:rowOff>139700</xdr:rowOff>
    </xdr:to>
    <xdr:sp macro="" textlink="">
      <xdr:nvSpPr>
        <xdr:cNvPr id="6145" name="Rectangle 1"/>
        <xdr:cNvSpPr>
          <a:spLocks noChangeArrowheads="1"/>
        </xdr:cNvSpPr>
      </xdr:nvSpPr>
      <xdr:spPr bwMode="auto">
        <a:xfrm>
          <a:off x="6426200" y="177800"/>
          <a:ext cx="7073900" cy="622300"/>
        </a:xfrm>
        <a:prstGeom prst="rect">
          <a:avLst/>
        </a:prstGeom>
        <a:solidFill>
          <a:srgbClr val="C0C0C0"/>
        </a:solidFill>
        <a:ln w="9525">
          <a:solidFill>
            <a:srgbClr val="000000"/>
          </a:solidFill>
          <a:miter lim="800000"/>
          <a:headEnd/>
          <a:tailEnd/>
        </a:ln>
      </xdr:spPr>
      <xdr:txBody>
        <a:bodyPr vertOverflow="clip" wrap="square" lIns="27432" tIns="18288" rIns="0" bIns="0" anchor="t" upright="1"/>
        <a:lstStyle/>
        <a:p>
          <a:pPr algn="l" rtl="0">
            <a:defRPr sz="1000"/>
          </a:pPr>
          <a:r>
            <a:rPr lang="en-US" sz="1000" b="0" i="0" u="none" strike="noStrike" baseline="0">
              <a:solidFill>
                <a:srgbClr val="000000"/>
              </a:solidFill>
              <a:latin typeface="Arial"/>
              <a:ea typeface="Arial"/>
              <a:cs typeface="Arial"/>
            </a:rPr>
            <a:t>NOTE: </a:t>
          </a:r>
        </a:p>
        <a:p>
          <a:pPr algn="l" rtl="0">
            <a:defRPr sz="1000"/>
          </a:pPr>
          <a:r>
            <a:rPr lang="en-US" sz="1000" b="0" i="0" u="none" strike="noStrike" baseline="0">
              <a:solidFill>
                <a:srgbClr val="000000"/>
              </a:solidFill>
              <a:latin typeface="Arial"/>
              <a:ea typeface="Arial"/>
              <a:cs typeface="Arial"/>
            </a:rPr>
            <a:t>If your case is:</a:t>
          </a:r>
          <a:r>
            <a:rPr lang="en-US" sz="1000" b="1" i="0" u="none" strike="noStrike" baseline="0">
              <a:solidFill>
                <a:srgbClr val="000000"/>
              </a:solidFill>
              <a:latin typeface="Arial"/>
              <a:ea typeface="Arial"/>
              <a:cs typeface="Arial"/>
            </a:rPr>
            <a:t> [Case 3c: More Than One Granddaughter, NO Grandsons],</a:t>
          </a:r>
          <a:r>
            <a:rPr lang="en-US" sz="1000" b="0" i="0" u="none" strike="noStrike" baseline="0">
              <a:solidFill>
                <a:srgbClr val="000000"/>
              </a:solidFill>
              <a:latin typeface="Arial"/>
              <a:ea typeface="Arial"/>
              <a:cs typeface="Arial"/>
            </a:rPr>
            <a:t> select 1) the table that best meets your situation, and 2) then Substitute Daughter(s) of Son(s) for Daughter(s) AND Son(s) of Son(s) for Son(s)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4864100</xdr:colOff>
      <xdr:row>7</xdr:row>
      <xdr:rowOff>165100</xdr:rowOff>
    </xdr:from>
    <xdr:to>
      <xdr:col>0</xdr:col>
      <xdr:colOff>5740400</xdr:colOff>
      <xdr:row>7</xdr:row>
      <xdr:rowOff>165100</xdr:rowOff>
    </xdr:to>
    <xdr:sp macro="" textlink="">
      <xdr:nvSpPr>
        <xdr:cNvPr id="7393" name="Line 5"/>
        <xdr:cNvSpPr>
          <a:spLocks noChangeShapeType="1"/>
        </xdr:cNvSpPr>
      </xdr:nvSpPr>
      <xdr:spPr bwMode="auto">
        <a:xfrm flipH="1">
          <a:off x="4864100" y="1282700"/>
          <a:ext cx="8763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50800</xdr:colOff>
      <xdr:row>1</xdr:row>
      <xdr:rowOff>127000</xdr:rowOff>
    </xdr:from>
    <xdr:to>
      <xdr:col>2</xdr:col>
      <xdr:colOff>1701800</xdr:colOff>
      <xdr:row>7</xdr:row>
      <xdr:rowOff>114300</xdr:rowOff>
    </xdr:to>
    <xdr:sp macro="" textlink="">
      <xdr:nvSpPr>
        <xdr:cNvPr id="7174" name="Rectangle 6">
          <a:hlinkClick xmlns:r="http://schemas.openxmlformats.org/officeDocument/2006/relationships" r:id="rId1"/>
        </xdr:cNvPr>
        <xdr:cNvSpPr>
          <a:spLocks noChangeArrowheads="1"/>
        </xdr:cNvSpPr>
      </xdr:nvSpPr>
      <xdr:spPr bwMode="auto">
        <a:xfrm>
          <a:off x="11557000" y="292100"/>
          <a:ext cx="1651000" cy="9398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a:effectLst/>
      </xdr:spPr>
      <xdr:txBody>
        <a:bodyPr vertOverflow="clip" wrap="square" lIns="27432" tIns="22860" rIns="0" bIns="22860" anchor="ctr" upright="1"/>
        <a:lstStyle/>
        <a:p>
          <a:pPr algn="l" rtl="0">
            <a:defRPr sz="1000"/>
          </a:pPr>
          <a:r>
            <a:rPr lang="en-US" sz="1200" b="1" i="1" u="sng" strike="noStrike">
              <a:solidFill>
                <a:srgbClr val="000000"/>
              </a:solidFill>
              <a:latin typeface="Arial"/>
              <a:ea typeface="Arial"/>
              <a:cs typeface="Arial"/>
            </a:rPr>
            <a:t>Click here</a:t>
          </a:r>
          <a:r>
            <a:rPr lang="en-US" sz="1200" b="1" i="0" strike="noStrike">
              <a:solidFill>
                <a:srgbClr val="000000"/>
              </a:solidFill>
              <a:latin typeface="Arial"/>
              <a:ea typeface="Arial"/>
              <a:cs typeface="Arial"/>
            </a:rPr>
            <a:t> to go back to CASE SELECTION</a:t>
          </a:r>
        </a:p>
      </xdr:txBody>
    </xdr:sp>
    <xdr:clientData/>
  </xdr:twoCellAnchor>
  <xdr:twoCellAnchor>
    <xdr:from>
      <xdr:col>2</xdr:col>
      <xdr:colOff>990600</xdr:colOff>
      <xdr:row>7</xdr:row>
      <xdr:rowOff>0</xdr:rowOff>
    </xdr:from>
    <xdr:to>
      <xdr:col>2</xdr:col>
      <xdr:colOff>1625600</xdr:colOff>
      <xdr:row>7</xdr:row>
      <xdr:rowOff>0</xdr:rowOff>
    </xdr:to>
    <xdr:sp macro="" textlink="">
      <xdr:nvSpPr>
        <xdr:cNvPr id="7395" name="Line 7"/>
        <xdr:cNvSpPr>
          <a:spLocks noChangeShapeType="1"/>
        </xdr:cNvSpPr>
      </xdr:nvSpPr>
      <xdr:spPr bwMode="auto">
        <a:xfrm flipH="1">
          <a:off x="12496800" y="1117600"/>
          <a:ext cx="635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50800</xdr:colOff>
      <xdr:row>148</xdr:row>
      <xdr:rowOff>139700</xdr:rowOff>
    </xdr:from>
    <xdr:to>
      <xdr:col>2</xdr:col>
      <xdr:colOff>1701800</xdr:colOff>
      <xdr:row>153</xdr:row>
      <xdr:rowOff>139700</xdr:rowOff>
    </xdr:to>
    <xdr:sp macro="" textlink="">
      <xdr:nvSpPr>
        <xdr:cNvPr id="7176" name="Rectangle 8">
          <a:hlinkClick xmlns:r="http://schemas.openxmlformats.org/officeDocument/2006/relationships" r:id="rId1"/>
        </xdr:cNvPr>
        <xdr:cNvSpPr>
          <a:spLocks noChangeArrowheads="1"/>
        </xdr:cNvSpPr>
      </xdr:nvSpPr>
      <xdr:spPr bwMode="auto">
        <a:xfrm>
          <a:off x="11557000" y="26784300"/>
          <a:ext cx="1651000" cy="8636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a:effectLst/>
      </xdr:spPr>
      <xdr:txBody>
        <a:bodyPr vertOverflow="clip" wrap="square" lIns="27432" tIns="22860" rIns="0" bIns="22860" anchor="ctr" upright="1"/>
        <a:lstStyle/>
        <a:p>
          <a:pPr algn="l" rtl="0">
            <a:defRPr sz="1000"/>
          </a:pPr>
          <a:r>
            <a:rPr lang="en-US" sz="1200" b="1" i="1" u="sng" strike="noStrike">
              <a:solidFill>
                <a:srgbClr val="000000"/>
              </a:solidFill>
              <a:latin typeface="Arial"/>
              <a:ea typeface="Arial"/>
              <a:cs typeface="Arial"/>
            </a:rPr>
            <a:t>Click here</a:t>
          </a:r>
          <a:r>
            <a:rPr lang="en-US" sz="1200" b="1" i="0" strike="noStrike">
              <a:solidFill>
                <a:srgbClr val="000000"/>
              </a:solidFill>
              <a:latin typeface="Arial"/>
              <a:ea typeface="Arial"/>
              <a:cs typeface="Arial"/>
            </a:rPr>
            <a:t> to go back to CASE SELECTION</a:t>
          </a:r>
        </a:p>
      </xdr:txBody>
    </xdr:sp>
    <xdr:clientData/>
  </xdr:twoCellAnchor>
  <xdr:twoCellAnchor>
    <xdr:from>
      <xdr:col>2</xdr:col>
      <xdr:colOff>990600</xdr:colOff>
      <xdr:row>152</xdr:row>
      <xdr:rowOff>101600</xdr:rowOff>
    </xdr:from>
    <xdr:to>
      <xdr:col>2</xdr:col>
      <xdr:colOff>1625600</xdr:colOff>
      <xdr:row>152</xdr:row>
      <xdr:rowOff>101600</xdr:rowOff>
    </xdr:to>
    <xdr:sp macro="" textlink="">
      <xdr:nvSpPr>
        <xdr:cNvPr id="7397" name="Line 9"/>
        <xdr:cNvSpPr>
          <a:spLocks noChangeShapeType="1"/>
        </xdr:cNvSpPr>
      </xdr:nvSpPr>
      <xdr:spPr bwMode="auto">
        <a:xfrm flipH="1">
          <a:off x="12496800" y="27457400"/>
          <a:ext cx="635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50800</xdr:colOff>
      <xdr:row>132</xdr:row>
      <xdr:rowOff>12700</xdr:rowOff>
    </xdr:from>
    <xdr:to>
      <xdr:col>2</xdr:col>
      <xdr:colOff>1701800</xdr:colOff>
      <xdr:row>136</xdr:row>
      <xdr:rowOff>63500</xdr:rowOff>
    </xdr:to>
    <xdr:sp macro="" textlink="">
      <xdr:nvSpPr>
        <xdr:cNvPr id="7178" name="Rectangle 10">
          <a:hlinkClick xmlns:r="http://schemas.openxmlformats.org/officeDocument/2006/relationships" r:id="rId1"/>
        </xdr:cNvPr>
        <xdr:cNvSpPr>
          <a:spLocks noChangeArrowheads="1"/>
        </xdr:cNvSpPr>
      </xdr:nvSpPr>
      <xdr:spPr bwMode="auto">
        <a:xfrm>
          <a:off x="11557000" y="23774400"/>
          <a:ext cx="1651000" cy="10160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a:effectLst/>
      </xdr:spPr>
      <xdr:txBody>
        <a:bodyPr vertOverflow="clip" wrap="square" lIns="27432" tIns="22860" rIns="0" bIns="22860" anchor="ctr" upright="1"/>
        <a:lstStyle/>
        <a:p>
          <a:pPr algn="l" rtl="0">
            <a:lnSpc>
              <a:spcPts val="1400"/>
            </a:lnSpc>
            <a:defRPr sz="1000"/>
          </a:pPr>
          <a:r>
            <a:rPr lang="en-US" sz="1200" b="1" i="1" u="sng" strike="noStrike">
              <a:solidFill>
                <a:srgbClr val="000000"/>
              </a:solidFill>
              <a:latin typeface="Arial"/>
              <a:ea typeface="Arial"/>
              <a:cs typeface="Arial"/>
            </a:rPr>
            <a:t>Click here</a:t>
          </a:r>
          <a:r>
            <a:rPr lang="en-US" sz="1200" b="1" i="0" strike="noStrike">
              <a:solidFill>
                <a:srgbClr val="000000"/>
              </a:solidFill>
              <a:latin typeface="Arial"/>
              <a:ea typeface="Arial"/>
              <a:cs typeface="Arial"/>
            </a:rPr>
            <a:t> to go back to CASE SELECTION</a:t>
          </a:r>
        </a:p>
      </xdr:txBody>
    </xdr:sp>
    <xdr:clientData/>
  </xdr:twoCellAnchor>
  <xdr:twoCellAnchor>
    <xdr:from>
      <xdr:col>2</xdr:col>
      <xdr:colOff>990600</xdr:colOff>
      <xdr:row>135</xdr:row>
      <xdr:rowOff>50800</xdr:rowOff>
    </xdr:from>
    <xdr:to>
      <xdr:col>2</xdr:col>
      <xdr:colOff>1625600</xdr:colOff>
      <xdr:row>135</xdr:row>
      <xdr:rowOff>50800</xdr:rowOff>
    </xdr:to>
    <xdr:sp macro="" textlink="">
      <xdr:nvSpPr>
        <xdr:cNvPr id="7399" name="Line 11"/>
        <xdr:cNvSpPr>
          <a:spLocks noChangeShapeType="1"/>
        </xdr:cNvSpPr>
      </xdr:nvSpPr>
      <xdr:spPr bwMode="auto">
        <a:xfrm flipH="1">
          <a:off x="12496800" y="24612600"/>
          <a:ext cx="635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50800</xdr:colOff>
      <xdr:row>92</xdr:row>
      <xdr:rowOff>152400</xdr:rowOff>
    </xdr:from>
    <xdr:to>
      <xdr:col>2</xdr:col>
      <xdr:colOff>1701800</xdr:colOff>
      <xdr:row>99</xdr:row>
      <xdr:rowOff>38100</xdr:rowOff>
    </xdr:to>
    <xdr:sp macro="" textlink="">
      <xdr:nvSpPr>
        <xdr:cNvPr id="7180" name="Rectangle 12">
          <a:hlinkClick xmlns:r="http://schemas.openxmlformats.org/officeDocument/2006/relationships" r:id="rId1"/>
        </xdr:cNvPr>
        <xdr:cNvSpPr>
          <a:spLocks noChangeArrowheads="1"/>
        </xdr:cNvSpPr>
      </xdr:nvSpPr>
      <xdr:spPr bwMode="auto">
        <a:xfrm>
          <a:off x="11557000" y="17106900"/>
          <a:ext cx="1651000" cy="10160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a:effectLst/>
      </xdr:spPr>
      <xdr:txBody>
        <a:bodyPr vertOverflow="clip" wrap="square" lIns="27432" tIns="22860" rIns="0" bIns="22860" anchor="ctr" upright="1"/>
        <a:lstStyle/>
        <a:p>
          <a:pPr algn="l" rtl="0">
            <a:defRPr sz="1000"/>
          </a:pPr>
          <a:r>
            <a:rPr lang="en-US" sz="1200" b="1" i="1" u="sng" strike="noStrike">
              <a:solidFill>
                <a:srgbClr val="000000"/>
              </a:solidFill>
              <a:latin typeface="Arial"/>
              <a:ea typeface="Arial"/>
              <a:cs typeface="Arial"/>
            </a:rPr>
            <a:t>Click here</a:t>
          </a:r>
          <a:r>
            <a:rPr lang="en-US" sz="1200" b="1" i="0" strike="noStrike">
              <a:solidFill>
                <a:srgbClr val="000000"/>
              </a:solidFill>
              <a:latin typeface="Arial"/>
              <a:ea typeface="Arial"/>
              <a:cs typeface="Arial"/>
            </a:rPr>
            <a:t> to go back to CASE SELECTION</a:t>
          </a:r>
        </a:p>
      </xdr:txBody>
    </xdr:sp>
    <xdr:clientData/>
  </xdr:twoCellAnchor>
  <xdr:twoCellAnchor>
    <xdr:from>
      <xdr:col>2</xdr:col>
      <xdr:colOff>990600</xdr:colOff>
      <xdr:row>98</xdr:row>
      <xdr:rowOff>12700</xdr:rowOff>
    </xdr:from>
    <xdr:to>
      <xdr:col>2</xdr:col>
      <xdr:colOff>1625600</xdr:colOff>
      <xdr:row>98</xdr:row>
      <xdr:rowOff>12700</xdr:rowOff>
    </xdr:to>
    <xdr:sp macro="" textlink="">
      <xdr:nvSpPr>
        <xdr:cNvPr id="7401" name="Line 13"/>
        <xdr:cNvSpPr>
          <a:spLocks noChangeShapeType="1"/>
        </xdr:cNvSpPr>
      </xdr:nvSpPr>
      <xdr:spPr bwMode="auto">
        <a:xfrm flipH="1">
          <a:off x="12496800" y="17945100"/>
          <a:ext cx="635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2</xdr:col>
      <xdr:colOff>50800</xdr:colOff>
      <xdr:row>47</xdr:row>
      <xdr:rowOff>152400</xdr:rowOff>
    </xdr:from>
    <xdr:to>
      <xdr:col>2</xdr:col>
      <xdr:colOff>1701800</xdr:colOff>
      <xdr:row>54</xdr:row>
      <xdr:rowOff>12700</xdr:rowOff>
    </xdr:to>
    <xdr:sp macro="" textlink="">
      <xdr:nvSpPr>
        <xdr:cNvPr id="7182" name="Rectangle 14">
          <a:hlinkClick xmlns:r="http://schemas.openxmlformats.org/officeDocument/2006/relationships" r:id="rId1"/>
        </xdr:cNvPr>
        <xdr:cNvSpPr>
          <a:spLocks noChangeArrowheads="1"/>
        </xdr:cNvSpPr>
      </xdr:nvSpPr>
      <xdr:spPr bwMode="auto">
        <a:xfrm>
          <a:off x="11557000" y="7912100"/>
          <a:ext cx="1651000" cy="1016000"/>
        </a:xfrm>
        <a:prstGeom prst="rect">
          <a:avLst/>
        </a:prstGeom>
        <a:gradFill rotWithShape="1">
          <a:gsLst>
            <a:gs pos="0">
              <a:srgbClr val="FFFF99"/>
            </a:gs>
            <a:gs pos="100000">
              <a:srgbClr val="1FB714"/>
            </a:gs>
          </a:gsLst>
          <a:lin ang="0" scaled="1"/>
        </a:gradFill>
        <a:ln w="28575">
          <a:solidFill>
            <a:srgbClr val="000000"/>
          </a:solidFill>
          <a:prstDash val="sysDot"/>
          <a:miter lim="800000"/>
          <a:headEnd/>
          <a:tailEnd/>
        </a:ln>
        <a:effectLst/>
      </xdr:spPr>
      <xdr:txBody>
        <a:bodyPr vertOverflow="clip" wrap="square" lIns="27432" tIns="22860" rIns="0" bIns="22860" anchor="ctr" upright="1"/>
        <a:lstStyle/>
        <a:p>
          <a:pPr algn="l" rtl="0">
            <a:lnSpc>
              <a:spcPts val="1400"/>
            </a:lnSpc>
            <a:defRPr sz="1000"/>
          </a:pPr>
          <a:r>
            <a:rPr lang="en-US" sz="1200" b="1" i="1" u="sng" strike="noStrike">
              <a:solidFill>
                <a:srgbClr val="000000"/>
              </a:solidFill>
              <a:latin typeface="Arial"/>
              <a:ea typeface="Arial"/>
              <a:cs typeface="Arial"/>
            </a:rPr>
            <a:t>Click here</a:t>
          </a:r>
          <a:r>
            <a:rPr lang="en-US" sz="1200" b="1" i="0" strike="noStrike">
              <a:solidFill>
                <a:srgbClr val="000000"/>
              </a:solidFill>
              <a:latin typeface="Arial"/>
              <a:ea typeface="Arial"/>
              <a:cs typeface="Arial"/>
            </a:rPr>
            <a:t> to go back to CASE SELECTION</a:t>
          </a:r>
        </a:p>
      </xdr:txBody>
    </xdr:sp>
    <xdr:clientData/>
  </xdr:twoCellAnchor>
  <xdr:twoCellAnchor>
    <xdr:from>
      <xdr:col>2</xdr:col>
      <xdr:colOff>990600</xdr:colOff>
      <xdr:row>53</xdr:row>
      <xdr:rowOff>0</xdr:rowOff>
    </xdr:from>
    <xdr:to>
      <xdr:col>2</xdr:col>
      <xdr:colOff>1625600</xdr:colOff>
      <xdr:row>53</xdr:row>
      <xdr:rowOff>0</xdr:rowOff>
    </xdr:to>
    <xdr:sp macro="" textlink="">
      <xdr:nvSpPr>
        <xdr:cNvPr id="7403" name="Line 15"/>
        <xdr:cNvSpPr>
          <a:spLocks noChangeShapeType="1"/>
        </xdr:cNvSpPr>
      </xdr:nvSpPr>
      <xdr:spPr bwMode="auto">
        <a:xfrm flipH="1">
          <a:off x="12496800" y="8750300"/>
          <a:ext cx="635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inheritance.calculator@gmail.com" TargetMode="External"/><Relationship Id="rId2" Type="http://schemas.openxmlformats.org/officeDocument/2006/relationships/hyperlink" Target="http://www.islamicsoftware.org/irth.html"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www.wiao.org/Will/lastwill.html" TargetMode="External"/><Relationship Id="rId4" Type="http://schemas.openxmlformats.org/officeDocument/2006/relationships/hyperlink" Target="http://www.irvingmasjid.org/Forms/ICI-Will.doc" TargetMode="External"/><Relationship Id="rId5" Type="http://schemas.openxmlformats.org/officeDocument/2006/relationships/hyperlink" Target="http://www.islamiccenterofnewlondon.com/files/IslamicWill.pdf" TargetMode="External"/><Relationship Id="rId6" Type="http://schemas.openxmlformats.org/officeDocument/2006/relationships/hyperlink" Target="http://www.isna.net/uploads/media/TheScheduleOfMawarith-May222003.pdf" TargetMode="External"/><Relationship Id="rId7" Type="http://schemas.openxmlformats.org/officeDocument/2006/relationships/drawing" Target="../drawings/drawing7.xml"/><Relationship Id="rId1" Type="http://schemas.openxmlformats.org/officeDocument/2006/relationships/hyperlink" Target="http://members.cox.net/ameer1/will.pdf" TargetMode="External"/><Relationship Id="rId2" Type="http://schemas.openxmlformats.org/officeDocument/2006/relationships/hyperlink" Target="http://www.isnacanada.com/doc/wilb0127.doc"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5"/>
    <pageSetUpPr fitToPage="1"/>
  </sheetPr>
  <dimension ref="B2:B12"/>
  <sheetViews>
    <sheetView showRowColHeaders="0" tabSelected="1" zoomScale="150" zoomScaleNormal="150" zoomScalePageLayoutView="150" workbookViewId="0">
      <selection activeCell="B12" sqref="B12"/>
    </sheetView>
  </sheetViews>
  <sheetFormatPr baseColWidth="10" defaultColWidth="9.1640625" defaultRowHeight="12" x14ac:dyDescent="0"/>
  <cols>
    <col min="1" max="1" width="9.1640625" style="160"/>
    <col min="2" max="2" width="112.5" style="160" customWidth="1"/>
    <col min="3" max="16384" width="9.1640625" style="160"/>
  </cols>
  <sheetData>
    <row r="2" spans="2:2" ht="13" thickBot="1"/>
    <row r="3" spans="2:2" ht="61" thickBot="1">
      <c r="B3" s="135" t="s">
        <v>391</v>
      </c>
    </row>
    <row r="4" spans="2:2" ht="13" thickBot="1">
      <c r="B4" s="134"/>
    </row>
    <row r="5" spans="2:2" ht="13" thickBot="1">
      <c r="B5" s="92" t="s">
        <v>35</v>
      </c>
    </row>
    <row r="6" spans="2:2" ht="48">
      <c r="B6" s="93" t="s">
        <v>393</v>
      </c>
    </row>
    <row r="7" spans="2:2" ht="36">
      <c r="B7" s="94" t="s">
        <v>38</v>
      </c>
    </row>
    <row r="8" spans="2:2" ht="39.75" customHeight="1">
      <c r="B8" s="94" t="s">
        <v>394</v>
      </c>
    </row>
    <row r="9" spans="2:2" ht="55.5" customHeight="1" thickBot="1">
      <c r="B9" s="136" t="s">
        <v>5</v>
      </c>
    </row>
    <row r="10" spans="2:2" ht="13" thickBot="1">
      <c r="B10" s="209" t="s">
        <v>6</v>
      </c>
    </row>
    <row r="12" spans="2:2">
      <c r="B12" s="109" t="s">
        <v>392</v>
      </c>
    </row>
  </sheetData>
  <sheetProtection password="C4AE" sheet="1" objects="1" scenarios="1"/>
  <phoneticPr fontId="5" type="noConversion"/>
  <hyperlinks>
    <hyperlink ref="B9" r:id="rId1" display="If you find any mistakes, please let me know at inheritance.calculator@gmail.com; as this is the first tool of its kind (at least I could not find any others), identifying mistakes in it is the only way to make it more useful for others.  Finally, please "/>
    <hyperlink ref="B10" r:id="rId2"/>
  </hyperlinks>
  <pageMargins left="0.75" right="0.75" top="1" bottom="1" header="0.5" footer="0.5"/>
  <pageSetup scale="55" orientation="landscape"/>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162"/>
  <sheetViews>
    <sheetView showRowColHeaders="0" topLeftCell="A73" zoomScale="125" zoomScaleNormal="125" zoomScalePageLayoutView="125" workbookViewId="0"/>
  </sheetViews>
  <sheetFormatPr baseColWidth="10" defaultColWidth="75.5" defaultRowHeight="12" x14ac:dyDescent="0"/>
  <cols>
    <col min="1" max="16384" width="75.5" style="140"/>
  </cols>
  <sheetData>
    <row r="1" spans="1:2" ht="13" thickBot="1"/>
    <row r="2" spans="1:2" ht="15" customHeight="1" thickBot="1">
      <c r="A2" s="280" t="s">
        <v>44</v>
      </c>
      <c r="B2" s="281"/>
    </row>
    <row r="3" spans="1:2">
      <c r="A3" s="138" t="s">
        <v>45</v>
      </c>
      <c r="B3" s="137"/>
    </row>
    <row r="4" spans="1:2">
      <c r="A4" s="138" t="s">
        <v>46</v>
      </c>
      <c r="B4" s="137"/>
    </row>
    <row r="5" spans="1:2">
      <c r="A5" s="138" t="s">
        <v>47</v>
      </c>
      <c r="B5" s="137"/>
    </row>
    <row r="6" spans="1:2">
      <c r="A6" s="138" t="s">
        <v>48</v>
      </c>
      <c r="B6" s="137"/>
    </row>
    <row r="7" spans="1:2">
      <c r="A7" s="138" t="s">
        <v>49</v>
      </c>
      <c r="B7" s="137"/>
    </row>
    <row r="8" spans="1:2" ht="24">
      <c r="A8" s="139" t="s">
        <v>50</v>
      </c>
      <c r="B8" s="163" t="s">
        <v>14</v>
      </c>
    </row>
    <row r="10" spans="1:2">
      <c r="A10" s="141" t="s">
        <v>41</v>
      </c>
      <c r="B10" s="142"/>
    </row>
    <row r="11" spans="1:2">
      <c r="A11" s="141" t="s">
        <v>237</v>
      </c>
      <c r="B11" s="142"/>
    </row>
    <row r="12" spans="1:2" ht="12.75" customHeight="1">
      <c r="A12" s="141"/>
      <c r="B12" s="142"/>
    </row>
    <row r="13" spans="1:2" ht="13" thickBot="1">
      <c r="A13" s="143" t="s">
        <v>238</v>
      </c>
      <c r="B13" s="142"/>
    </row>
    <row r="14" spans="1:2" ht="13" thickBot="1">
      <c r="A14" s="144" t="s">
        <v>239</v>
      </c>
      <c r="B14" s="145" t="s">
        <v>240</v>
      </c>
    </row>
    <row r="15" spans="1:2">
      <c r="A15" s="146" t="s">
        <v>241</v>
      </c>
      <c r="B15" s="275" t="s">
        <v>56</v>
      </c>
    </row>
    <row r="16" spans="1:2" ht="13" thickBot="1">
      <c r="A16" s="147"/>
      <c r="B16" s="277"/>
    </row>
    <row r="17" spans="1:2" ht="13" thickBot="1">
      <c r="A17" s="148" t="s">
        <v>242</v>
      </c>
      <c r="B17" s="149" t="s">
        <v>243</v>
      </c>
    </row>
    <row r="18" spans="1:2" ht="13" thickBot="1">
      <c r="A18" s="147" t="s">
        <v>244</v>
      </c>
      <c r="B18" s="149" t="s">
        <v>245</v>
      </c>
    </row>
    <row r="19" spans="1:2" ht="13" thickBot="1">
      <c r="A19" s="148" t="s">
        <v>246</v>
      </c>
      <c r="B19" s="149" t="s">
        <v>247</v>
      </c>
    </row>
    <row r="20" spans="1:2" ht="13" thickBot="1">
      <c r="A20" s="148" t="s">
        <v>248</v>
      </c>
      <c r="B20" s="149" t="s">
        <v>249</v>
      </c>
    </row>
    <row r="21" spans="1:2">
      <c r="A21" s="150" t="s">
        <v>250</v>
      </c>
      <c r="B21" s="275" t="s">
        <v>252</v>
      </c>
    </row>
    <row r="22" spans="1:2" ht="13" thickBot="1">
      <c r="A22" s="148" t="s">
        <v>251</v>
      </c>
      <c r="B22" s="277"/>
    </row>
    <row r="23" spans="1:2">
      <c r="A23" s="150" t="s">
        <v>253</v>
      </c>
      <c r="B23" s="275" t="s">
        <v>255</v>
      </c>
    </row>
    <row r="24" spans="1:2" ht="12.75" customHeight="1" thickBot="1">
      <c r="A24" s="148" t="s">
        <v>254</v>
      </c>
      <c r="B24" s="277"/>
    </row>
    <row r="25" spans="1:2">
      <c r="A25" s="275" t="s">
        <v>256</v>
      </c>
      <c r="B25" s="151" t="s">
        <v>257</v>
      </c>
    </row>
    <row r="26" spans="1:2" ht="13" thickBot="1">
      <c r="A26" s="277"/>
      <c r="B26" s="149" t="s">
        <v>258</v>
      </c>
    </row>
    <row r="27" spans="1:2">
      <c r="A27" s="275" t="s">
        <v>259</v>
      </c>
      <c r="B27" s="275" t="s">
        <v>260</v>
      </c>
    </row>
    <row r="28" spans="1:2" ht="13" thickBot="1">
      <c r="A28" s="277"/>
      <c r="B28" s="277"/>
    </row>
    <row r="29" spans="1:2" ht="13" thickBot="1">
      <c r="A29" s="147" t="s">
        <v>261</v>
      </c>
      <c r="B29" s="149" t="s">
        <v>262</v>
      </c>
    </row>
    <row r="30" spans="1:2" ht="13" thickBot="1">
      <c r="A30" s="147" t="s">
        <v>263</v>
      </c>
      <c r="B30" s="149" t="s">
        <v>264</v>
      </c>
    </row>
    <row r="31" spans="1:2" ht="13" thickBot="1">
      <c r="A31" s="147" t="s">
        <v>265</v>
      </c>
      <c r="B31" s="149" t="s">
        <v>266</v>
      </c>
    </row>
    <row r="32" spans="1:2" ht="13" thickBot="1">
      <c r="A32" s="147" t="s">
        <v>267</v>
      </c>
      <c r="B32" s="152" t="s">
        <v>58</v>
      </c>
    </row>
    <row r="33" spans="1:2" ht="13" thickBot="1">
      <c r="A33" s="147" t="s">
        <v>268</v>
      </c>
      <c r="B33" s="149" t="s">
        <v>269</v>
      </c>
    </row>
    <row r="34" spans="1:2" ht="13" thickBot="1">
      <c r="A34" s="147" t="s">
        <v>270</v>
      </c>
      <c r="B34" s="149" t="s">
        <v>271</v>
      </c>
    </row>
    <row r="35" spans="1:2" ht="13" thickBot="1">
      <c r="A35" s="147" t="s">
        <v>272</v>
      </c>
      <c r="B35" s="149" t="s">
        <v>273</v>
      </c>
    </row>
    <row r="36" spans="1:2" ht="13" thickBot="1">
      <c r="A36" s="147" t="s">
        <v>204</v>
      </c>
      <c r="B36" s="149" t="s">
        <v>205</v>
      </c>
    </row>
    <row r="37" spans="1:2" ht="13" thickBot="1">
      <c r="A37" s="147" t="s">
        <v>206</v>
      </c>
      <c r="B37" s="149" t="s">
        <v>207</v>
      </c>
    </row>
    <row r="38" spans="1:2" ht="13" thickBot="1">
      <c r="A38" s="147" t="s">
        <v>208</v>
      </c>
      <c r="B38" s="149" t="s">
        <v>209</v>
      </c>
    </row>
    <row r="39" spans="1:2">
      <c r="A39" s="153" t="s">
        <v>210</v>
      </c>
      <c r="B39" s="275" t="s">
        <v>213</v>
      </c>
    </row>
    <row r="40" spans="1:2">
      <c r="A40" s="153" t="s">
        <v>211</v>
      </c>
      <c r="B40" s="276"/>
    </row>
    <row r="41" spans="1:2" ht="21" thickBot="1">
      <c r="A41" s="147" t="s">
        <v>212</v>
      </c>
      <c r="B41" s="277"/>
    </row>
    <row r="42" spans="1:2" ht="13" thickBot="1">
      <c r="A42" s="147" t="s">
        <v>214</v>
      </c>
      <c r="B42" s="149" t="s">
        <v>215</v>
      </c>
    </row>
    <row r="43" spans="1:2">
      <c r="A43" s="153" t="s">
        <v>216</v>
      </c>
      <c r="B43" s="275"/>
    </row>
    <row r="44" spans="1:2">
      <c r="A44" s="153" t="s">
        <v>217</v>
      </c>
      <c r="B44" s="276"/>
    </row>
    <row r="45" spans="1:2" ht="13" thickBot="1">
      <c r="A45" s="147" t="s">
        <v>218</v>
      </c>
      <c r="B45" s="277"/>
    </row>
    <row r="46" spans="1:2">
      <c r="A46" s="154" t="s">
        <v>219</v>
      </c>
      <c r="B46" s="142"/>
    </row>
    <row r="47" spans="1:2">
      <c r="A47" s="142"/>
      <c r="B47" s="142"/>
    </row>
    <row r="48" spans="1:2" ht="13" thickBot="1">
      <c r="A48" s="143" t="s">
        <v>220</v>
      </c>
      <c r="B48" s="142"/>
    </row>
    <row r="49" spans="1:2" ht="13" thickBot="1">
      <c r="A49" s="144" t="s">
        <v>239</v>
      </c>
      <c r="B49" s="145" t="s">
        <v>240</v>
      </c>
    </row>
    <row r="50" spans="1:2" ht="13" thickBot="1">
      <c r="A50" s="147" t="s">
        <v>221</v>
      </c>
      <c r="B50" s="149" t="s">
        <v>222</v>
      </c>
    </row>
    <row r="51" spans="1:2" ht="13" thickBot="1">
      <c r="A51" s="148" t="s">
        <v>223</v>
      </c>
      <c r="B51" s="149" t="s">
        <v>224</v>
      </c>
    </row>
    <row r="52" spans="1:2" ht="13" thickBot="1">
      <c r="A52" s="147" t="s">
        <v>225</v>
      </c>
      <c r="B52" s="149" t="s">
        <v>226</v>
      </c>
    </row>
    <row r="53" spans="1:2" ht="13" thickBot="1">
      <c r="A53" s="148" t="s">
        <v>227</v>
      </c>
      <c r="B53" s="149" t="s">
        <v>228</v>
      </c>
    </row>
    <row r="54" spans="1:2" ht="13" thickBot="1">
      <c r="A54" s="148" t="s">
        <v>229</v>
      </c>
      <c r="B54" s="149" t="s">
        <v>230</v>
      </c>
    </row>
    <row r="55" spans="1:2" ht="13" thickBot="1">
      <c r="A55" s="148" t="s">
        <v>231</v>
      </c>
      <c r="B55" s="149" t="s">
        <v>232</v>
      </c>
    </row>
    <row r="56" spans="1:2" ht="13" thickBot="1">
      <c r="A56" s="148" t="s">
        <v>233</v>
      </c>
      <c r="B56" s="149" t="s">
        <v>182</v>
      </c>
    </row>
    <row r="57" spans="1:2" ht="13" thickBot="1">
      <c r="A57" s="147" t="s">
        <v>183</v>
      </c>
      <c r="B57" s="149" t="s">
        <v>184</v>
      </c>
    </row>
    <row r="58" spans="1:2" ht="21" thickBot="1">
      <c r="A58" s="147" t="s">
        <v>185</v>
      </c>
      <c r="B58" s="149" t="s">
        <v>186</v>
      </c>
    </row>
    <row r="59" spans="1:2" ht="21" thickBot="1">
      <c r="A59" s="147" t="s">
        <v>187</v>
      </c>
      <c r="B59" s="149" t="s">
        <v>188</v>
      </c>
    </row>
    <row r="60" spans="1:2" ht="21" thickBot="1">
      <c r="A60" s="147" t="s">
        <v>189</v>
      </c>
      <c r="B60" s="149" t="s">
        <v>190</v>
      </c>
    </row>
    <row r="61" spans="1:2" ht="21" thickBot="1">
      <c r="A61" s="147" t="s">
        <v>191</v>
      </c>
      <c r="B61" s="149" t="s">
        <v>192</v>
      </c>
    </row>
    <row r="62" spans="1:2" ht="13" thickBot="1">
      <c r="A62" s="147" t="s">
        <v>193</v>
      </c>
      <c r="B62" s="149" t="s">
        <v>194</v>
      </c>
    </row>
    <row r="63" spans="1:2" ht="13" thickBot="1">
      <c r="A63" s="147" t="s">
        <v>195</v>
      </c>
      <c r="B63" s="149" t="s">
        <v>196</v>
      </c>
    </row>
    <row r="64" spans="1:2" ht="13" thickBot="1">
      <c r="A64" s="147" t="s">
        <v>197</v>
      </c>
      <c r="B64" s="149" t="s">
        <v>198</v>
      </c>
    </row>
    <row r="65" spans="1:2" ht="21" thickBot="1">
      <c r="A65" s="147" t="s">
        <v>199</v>
      </c>
      <c r="B65" s="149" t="s">
        <v>200</v>
      </c>
    </row>
    <row r="66" spans="1:2" ht="21" thickBot="1">
      <c r="A66" s="147" t="s">
        <v>201</v>
      </c>
      <c r="B66" s="149" t="s">
        <v>202</v>
      </c>
    </row>
    <row r="67" spans="1:2" ht="21" thickBot="1">
      <c r="A67" s="147" t="s">
        <v>203</v>
      </c>
      <c r="B67" s="149" t="s">
        <v>168</v>
      </c>
    </row>
    <row r="68" spans="1:2" ht="21" thickBot="1">
      <c r="A68" s="147" t="s">
        <v>169</v>
      </c>
      <c r="B68" s="149" t="s">
        <v>170</v>
      </c>
    </row>
    <row r="69" spans="1:2">
      <c r="A69" s="275" t="s">
        <v>171</v>
      </c>
      <c r="B69" s="151" t="s">
        <v>172</v>
      </c>
    </row>
    <row r="70" spans="1:2" ht="13" thickBot="1">
      <c r="A70" s="277"/>
      <c r="B70" s="149" t="s">
        <v>173</v>
      </c>
    </row>
    <row r="71" spans="1:2" ht="13" thickBot="1">
      <c r="A71" s="147" t="s">
        <v>174</v>
      </c>
      <c r="B71" s="149" t="s">
        <v>175</v>
      </c>
    </row>
    <row r="72" spans="1:2" ht="21" thickBot="1">
      <c r="A72" s="147" t="s">
        <v>176</v>
      </c>
      <c r="B72" s="149" t="s">
        <v>177</v>
      </c>
    </row>
    <row r="73" spans="1:2" ht="41" thickBot="1">
      <c r="A73" s="147" t="s">
        <v>178</v>
      </c>
      <c r="B73" s="149" t="s">
        <v>179</v>
      </c>
    </row>
    <row r="74" spans="1:2" ht="20">
      <c r="A74" s="275" t="s">
        <v>180</v>
      </c>
      <c r="B74" s="151" t="s">
        <v>181</v>
      </c>
    </row>
    <row r="75" spans="1:2" ht="12.75" customHeight="1" thickBot="1">
      <c r="A75" s="277"/>
      <c r="B75" s="149" t="s">
        <v>153</v>
      </c>
    </row>
    <row r="76" spans="1:2" ht="21" thickBot="1">
      <c r="A76" s="147" t="s">
        <v>154</v>
      </c>
      <c r="B76" s="149" t="s">
        <v>155</v>
      </c>
    </row>
    <row r="77" spans="1:2" ht="21" thickBot="1">
      <c r="A77" s="147" t="s">
        <v>156</v>
      </c>
      <c r="B77" s="149" t="s">
        <v>157</v>
      </c>
    </row>
    <row r="78" spans="1:2">
      <c r="A78" s="153" t="s">
        <v>158</v>
      </c>
      <c r="B78" s="275" t="s">
        <v>161</v>
      </c>
    </row>
    <row r="79" spans="1:2">
      <c r="A79" s="153" t="s">
        <v>159</v>
      </c>
      <c r="B79" s="276"/>
    </row>
    <row r="80" spans="1:2" ht="13" thickBot="1">
      <c r="A80" s="147" t="s">
        <v>160</v>
      </c>
      <c r="B80" s="277"/>
    </row>
    <row r="81" spans="1:2" ht="12.75" customHeight="1" thickBot="1">
      <c r="A81" s="147" t="s">
        <v>162</v>
      </c>
      <c r="B81" s="149" t="s">
        <v>163</v>
      </c>
    </row>
    <row r="82" spans="1:2" ht="31" thickBot="1">
      <c r="A82" s="147" t="s">
        <v>164</v>
      </c>
      <c r="B82" s="149" t="s">
        <v>165</v>
      </c>
    </row>
    <row r="83" spans="1:2" ht="21" thickBot="1">
      <c r="A83" s="147" t="s">
        <v>166</v>
      </c>
      <c r="B83" s="149" t="s">
        <v>167</v>
      </c>
    </row>
    <row r="84" spans="1:2">
      <c r="A84" s="153" t="s">
        <v>125</v>
      </c>
      <c r="B84" s="275" t="s">
        <v>127</v>
      </c>
    </row>
    <row r="85" spans="1:2" ht="13" thickBot="1">
      <c r="A85" s="147" t="s">
        <v>126</v>
      </c>
      <c r="B85" s="277"/>
    </row>
    <row r="86" spans="1:2">
      <c r="A86" s="154" t="s">
        <v>128</v>
      </c>
      <c r="B86" s="142"/>
    </row>
    <row r="87" spans="1:2">
      <c r="A87" s="142"/>
      <c r="B87" s="142"/>
    </row>
    <row r="88" spans="1:2">
      <c r="A88" s="143" t="s">
        <v>129</v>
      </c>
      <c r="B88" s="142"/>
    </row>
    <row r="89" spans="1:2">
      <c r="A89" s="154"/>
      <c r="B89" s="142"/>
    </row>
    <row r="90" spans="1:2" ht="15">
      <c r="A90" s="155"/>
      <c r="B90" s="142"/>
    </row>
    <row r="91" spans="1:2">
      <c r="A91" s="154" t="s">
        <v>130</v>
      </c>
      <c r="B91" s="142"/>
    </row>
    <row r="92" spans="1:2">
      <c r="A92" s="142"/>
      <c r="B92" s="142"/>
    </row>
    <row r="93" spans="1:2" ht="13" thickBot="1">
      <c r="A93" s="143" t="s">
        <v>21</v>
      </c>
      <c r="B93" s="142"/>
    </row>
    <row r="94" spans="1:2" ht="13" thickBot="1">
      <c r="A94" s="144" t="s">
        <v>239</v>
      </c>
      <c r="B94" s="145" t="s">
        <v>240</v>
      </c>
    </row>
    <row r="95" spans="1:2" ht="13" thickBot="1">
      <c r="A95" s="147" t="s">
        <v>131</v>
      </c>
      <c r="B95" s="149" t="s">
        <v>132</v>
      </c>
    </row>
    <row r="96" spans="1:2" ht="12.75" customHeight="1" thickBot="1">
      <c r="A96" s="148" t="s">
        <v>133</v>
      </c>
      <c r="B96" s="149" t="s">
        <v>134</v>
      </c>
    </row>
    <row r="97" spans="1:2" ht="13" thickBot="1">
      <c r="A97" s="147" t="s">
        <v>135</v>
      </c>
      <c r="B97" s="149" t="s">
        <v>136</v>
      </c>
    </row>
    <row r="98" spans="1:2" ht="13" thickBot="1">
      <c r="A98" s="148" t="s">
        <v>137</v>
      </c>
      <c r="B98" s="149" t="s">
        <v>138</v>
      </c>
    </row>
    <row r="99" spans="1:2">
      <c r="A99" s="153" t="s">
        <v>139</v>
      </c>
      <c r="B99" s="275" t="s">
        <v>141</v>
      </c>
    </row>
    <row r="100" spans="1:2" ht="13" thickBot="1">
      <c r="A100" s="147" t="s">
        <v>140</v>
      </c>
      <c r="B100" s="277"/>
    </row>
    <row r="101" spans="1:2" ht="13" thickBot="1">
      <c r="A101" s="148" t="s">
        <v>142</v>
      </c>
      <c r="B101" s="149" t="s">
        <v>143</v>
      </c>
    </row>
    <row r="102" spans="1:2" ht="13" thickBot="1">
      <c r="A102" s="148" t="s">
        <v>144</v>
      </c>
      <c r="B102" s="149" t="s">
        <v>145</v>
      </c>
    </row>
    <row r="103" spans="1:2" ht="13" thickBot="1">
      <c r="A103" s="147" t="s">
        <v>146</v>
      </c>
      <c r="B103" s="149" t="s">
        <v>147</v>
      </c>
    </row>
    <row r="104" spans="1:2">
      <c r="A104" s="275" t="s">
        <v>148</v>
      </c>
      <c r="B104" s="151" t="s">
        <v>149</v>
      </c>
    </row>
    <row r="105" spans="1:2" ht="13" thickBot="1">
      <c r="A105" s="277"/>
      <c r="B105" s="149" t="s">
        <v>150</v>
      </c>
    </row>
    <row r="106" spans="1:2" ht="13" thickBot="1">
      <c r="A106" s="147" t="s">
        <v>151</v>
      </c>
      <c r="B106" s="149" t="s">
        <v>152</v>
      </c>
    </row>
    <row r="107" spans="1:2" ht="13" thickBot="1">
      <c r="A107" s="147" t="s">
        <v>96</v>
      </c>
      <c r="B107" s="149" t="s">
        <v>97</v>
      </c>
    </row>
    <row r="108" spans="1:2" ht="13" thickBot="1">
      <c r="A108" s="147" t="s">
        <v>98</v>
      </c>
      <c r="B108" s="149" t="s">
        <v>99</v>
      </c>
    </row>
    <row r="109" spans="1:2" ht="21" thickBot="1">
      <c r="A109" s="147" t="s">
        <v>100</v>
      </c>
      <c r="B109" s="149" t="s">
        <v>101</v>
      </c>
    </row>
    <row r="110" spans="1:2" ht="13" thickBot="1">
      <c r="A110" s="147" t="s">
        <v>102</v>
      </c>
      <c r="B110" s="149" t="s">
        <v>103</v>
      </c>
    </row>
    <row r="111" spans="1:2">
      <c r="A111" s="275" t="s">
        <v>104</v>
      </c>
      <c r="B111" s="151" t="s">
        <v>105</v>
      </c>
    </row>
    <row r="112" spans="1:2" ht="13" thickBot="1">
      <c r="A112" s="277"/>
      <c r="B112" s="149" t="s">
        <v>106</v>
      </c>
    </row>
    <row r="113" spans="1:2">
      <c r="A113" s="275" t="s">
        <v>107</v>
      </c>
      <c r="B113" s="151" t="s">
        <v>108</v>
      </c>
    </row>
    <row r="114" spans="1:2" ht="13" thickBot="1">
      <c r="A114" s="277"/>
      <c r="B114" s="149" t="s">
        <v>109</v>
      </c>
    </row>
    <row r="115" spans="1:2" ht="21" thickBot="1">
      <c r="A115" s="147" t="s">
        <v>110</v>
      </c>
      <c r="B115" s="149" t="s">
        <v>111</v>
      </c>
    </row>
    <row r="116" spans="1:2" ht="13" thickBot="1">
      <c r="A116" s="147" t="s">
        <v>112</v>
      </c>
      <c r="B116" s="149" t="s">
        <v>113</v>
      </c>
    </row>
    <row r="117" spans="1:2">
      <c r="A117" s="275" t="s">
        <v>114</v>
      </c>
      <c r="B117" s="151" t="s">
        <v>115</v>
      </c>
    </row>
    <row r="118" spans="1:2" ht="13" thickBot="1">
      <c r="A118" s="277"/>
      <c r="B118" s="149" t="s">
        <v>116</v>
      </c>
    </row>
    <row r="119" spans="1:2" ht="13" thickBot="1">
      <c r="A119" s="147" t="s">
        <v>117</v>
      </c>
      <c r="B119" s="149" t="s">
        <v>118</v>
      </c>
    </row>
    <row r="120" spans="1:2" ht="13" thickBot="1">
      <c r="A120" s="147" t="s">
        <v>119</v>
      </c>
      <c r="B120" s="149" t="s">
        <v>120</v>
      </c>
    </row>
    <row r="121" spans="1:2" ht="13" thickBot="1">
      <c r="A121" s="147" t="s">
        <v>121</v>
      </c>
      <c r="B121" s="149" t="s">
        <v>122</v>
      </c>
    </row>
    <row r="122" spans="1:2" ht="13" thickBot="1">
      <c r="A122" s="147" t="s">
        <v>123</v>
      </c>
      <c r="B122" s="149" t="s">
        <v>124</v>
      </c>
    </row>
    <row r="123" spans="1:2" ht="13" thickBot="1">
      <c r="A123" s="147" t="s">
        <v>67</v>
      </c>
      <c r="B123" s="149" t="s">
        <v>68</v>
      </c>
    </row>
    <row r="124" spans="1:2" ht="12.75" customHeight="1" thickBot="1">
      <c r="A124" s="147" t="s">
        <v>69</v>
      </c>
      <c r="B124" s="149" t="s">
        <v>70</v>
      </c>
    </row>
    <row r="125" spans="1:2" ht="13" thickBot="1">
      <c r="A125" s="147" t="s">
        <v>71</v>
      </c>
      <c r="B125" s="149" t="s">
        <v>72</v>
      </c>
    </row>
    <row r="126" spans="1:2" ht="21" thickBot="1">
      <c r="A126" s="147" t="s">
        <v>73</v>
      </c>
      <c r="B126" s="149" t="s">
        <v>74</v>
      </c>
    </row>
    <row r="127" spans="1:2">
      <c r="A127" s="275" t="s">
        <v>75</v>
      </c>
      <c r="B127" s="275" t="s">
        <v>76</v>
      </c>
    </row>
    <row r="128" spans="1:2" ht="13" thickBot="1">
      <c r="A128" s="277"/>
      <c r="B128" s="277"/>
    </row>
    <row r="129" spans="1:2">
      <c r="A129" s="154" t="s">
        <v>77</v>
      </c>
      <c r="B129" s="142"/>
    </row>
    <row r="130" spans="1:2" ht="15">
      <c r="A130" s="155"/>
      <c r="B130" s="142"/>
    </row>
    <row r="131" spans="1:2">
      <c r="A131" s="142"/>
      <c r="B131" s="142"/>
    </row>
    <row r="132" spans="1:2" ht="13" thickBot="1">
      <c r="A132" s="143" t="s">
        <v>37</v>
      </c>
      <c r="B132" s="142"/>
    </row>
    <row r="133" spans="1:2" ht="13" thickBot="1">
      <c r="A133" s="144" t="s">
        <v>239</v>
      </c>
      <c r="B133" s="145" t="s">
        <v>240</v>
      </c>
    </row>
    <row r="134" spans="1:2" ht="37" thickBot="1">
      <c r="A134" s="147" t="s">
        <v>78</v>
      </c>
      <c r="B134" s="156" t="s">
        <v>33</v>
      </c>
    </row>
    <row r="135" spans="1:2" ht="13" thickBot="1">
      <c r="A135" s="148" t="s">
        <v>79</v>
      </c>
      <c r="B135" s="149" t="s">
        <v>80</v>
      </c>
    </row>
    <row r="136" spans="1:2" ht="13" thickBot="1">
      <c r="A136" s="147" t="s">
        <v>81</v>
      </c>
      <c r="B136" s="149" t="s">
        <v>82</v>
      </c>
    </row>
    <row r="137" spans="1:2" ht="13" thickBot="1">
      <c r="A137" s="148" t="s">
        <v>83</v>
      </c>
      <c r="B137" s="149" t="s">
        <v>84</v>
      </c>
    </row>
    <row r="138" spans="1:2">
      <c r="A138" s="153" t="s">
        <v>85</v>
      </c>
      <c r="B138" s="275" t="s">
        <v>88</v>
      </c>
    </row>
    <row r="139" spans="1:2">
      <c r="A139" s="153" t="s">
        <v>86</v>
      </c>
      <c r="B139" s="276"/>
    </row>
    <row r="140" spans="1:2" ht="13" thickBot="1">
      <c r="A140" s="147" t="s">
        <v>87</v>
      </c>
      <c r="B140" s="277"/>
    </row>
    <row r="141" spans="1:2">
      <c r="A141" s="278" t="s">
        <v>89</v>
      </c>
      <c r="B141" s="151" t="s">
        <v>90</v>
      </c>
    </row>
    <row r="142" spans="1:2" ht="13" thickBot="1">
      <c r="A142" s="279"/>
      <c r="B142" s="149" t="s">
        <v>91</v>
      </c>
    </row>
    <row r="143" spans="1:2">
      <c r="A143" s="153" t="s">
        <v>92</v>
      </c>
      <c r="B143" s="151" t="s">
        <v>94</v>
      </c>
    </row>
    <row r="144" spans="1:2" ht="13" thickBot="1">
      <c r="A144" s="147" t="s">
        <v>93</v>
      </c>
      <c r="B144" s="149" t="s">
        <v>95</v>
      </c>
    </row>
    <row r="145" spans="1:2">
      <c r="A145" s="154" t="s">
        <v>51</v>
      </c>
      <c r="B145" s="142"/>
    </row>
    <row r="146" spans="1:2" ht="15">
      <c r="A146" s="155"/>
      <c r="B146" s="142"/>
    </row>
    <row r="147" spans="1:2">
      <c r="A147" s="142"/>
      <c r="B147" s="142"/>
    </row>
    <row r="148" spans="1:2">
      <c r="A148" s="143" t="s">
        <v>52</v>
      </c>
      <c r="B148" s="142"/>
    </row>
    <row r="149" spans="1:2">
      <c r="A149" s="154"/>
      <c r="B149" s="142"/>
    </row>
    <row r="150" spans="1:2">
      <c r="A150" s="154"/>
      <c r="B150" s="142"/>
    </row>
    <row r="151" spans="1:2">
      <c r="A151" s="154" t="s">
        <v>53</v>
      </c>
      <c r="B151" s="142"/>
    </row>
    <row r="152" spans="1:2" ht="20">
      <c r="A152" s="157" t="s">
        <v>43</v>
      </c>
      <c r="B152" s="142"/>
    </row>
    <row r="153" spans="1:2">
      <c r="A153" s="154"/>
      <c r="B153" s="142"/>
    </row>
    <row r="154" spans="1:2">
      <c r="A154" s="154" t="s">
        <v>54</v>
      </c>
      <c r="B154" s="142"/>
    </row>
    <row r="155" spans="1:2">
      <c r="A155" s="154" t="s">
        <v>57</v>
      </c>
      <c r="B155" s="142"/>
    </row>
    <row r="156" spans="1:2" ht="15">
      <c r="A156" s="155"/>
      <c r="B156" s="142"/>
    </row>
    <row r="157" spans="1:2">
      <c r="A157" s="142"/>
      <c r="B157" s="142"/>
    </row>
    <row r="158" spans="1:2">
      <c r="A158" s="142"/>
      <c r="B158" s="142"/>
    </row>
    <row r="159" spans="1:2">
      <c r="A159" s="158" t="s">
        <v>42</v>
      </c>
      <c r="B159" s="142"/>
    </row>
    <row r="160" spans="1:2">
      <c r="A160" s="158" t="s">
        <v>55</v>
      </c>
      <c r="B160" s="142"/>
    </row>
    <row r="161" spans="1:2">
      <c r="A161" s="158" t="s">
        <v>55</v>
      </c>
      <c r="B161" s="142"/>
    </row>
    <row r="162" spans="1:2">
      <c r="A162" s="159"/>
    </row>
  </sheetData>
  <sheetProtection password="C4AE" sheet="1" objects="1" scenarios="1"/>
  <mergeCells count="22">
    <mergeCell ref="B39:B41"/>
    <mergeCell ref="B23:B24"/>
    <mergeCell ref="A2:B2"/>
    <mergeCell ref="B15:B16"/>
    <mergeCell ref="B21:B22"/>
    <mergeCell ref="A25:A26"/>
    <mergeCell ref="A27:A28"/>
    <mergeCell ref="B27:B28"/>
    <mergeCell ref="A104:A105"/>
    <mergeCell ref="A111:A112"/>
    <mergeCell ref="B43:B45"/>
    <mergeCell ref="A69:A70"/>
    <mergeCell ref="A74:A75"/>
    <mergeCell ref="B78:B80"/>
    <mergeCell ref="B84:B85"/>
    <mergeCell ref="B99:B100"/>
    <mergeCell ref="B138:B140"/>
    <mergeCell ref="A141:A142"/>
    <mergeCell ref="A113:A114"/>
    <mergeCell ref="A117:A118"/>
    <mergeCell ref="A127:A128"/>
    <mergeCell ref="B127:B128"/>
  </mergeCells>
  <phoneticPr fontId="5" type="noConversion"/>
  <hyperlinks>
    <hyperlink ref="A3" r:id="rId1"/>
    <hyperlink ref="A4" r:id="rId2"/>
    <hyperlink ref="A5" r:id="rId3"/>
    <hyperlink ref="A6" r:id="rId4"/>
    <hyperlink ref="A7" r:id="rId5"/>
    <hyperlink ref="A8" r:id="rId6"/>
  </hyperlinks>
  <pageMargins left="0.75" right="0.75" top="1" bottom="1" header="0.5" footer="0.5"/>
  <pageSetup scale="59" fitToHeight="7" orientation="portrait"/>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22"/>
    <pageSetUpPr fitToPage="1"/>
  </sheetPr>
  <dimension ref="B1:F21"/>
  <sheetViews>
    <sheetView showGridLines="0" showRowColHeaders="0" zoomScale="150" zoomScaleNormal="150" zoomScalePageLayoutView="150" workbookViewId="0"/>
  </sheetViews>
  <sheetFormatPr baseColWidth="10" defaultColWidth="9.1640625" defaultRowHeight="12" x14ac:dyDescent="0"/>
  <cols>
    <col min="1" max="1" width="5" style="8" customWidth="1"/>
    <col min="2" max="2" width="169" style="8" customWidth="1"/>
    <col min="3" max="3" width="8.6640625" style="8" customWidth="1"/>
    <col min="4" max="4" width="10.1640625" style="8" customWidth="1"/>
    <col min="5" max="5" width="9.6640625" style="8" customWidth="1"/>
    <col min="6" max="16384" width="9.1640625" style="8"/>
  </cols>
  <sheetData>
    <row r="1" spans="2:6" ht="7.5" customHeight="1" thickBot="1"/>
    <row r="2" spans="2:6" ht="21.75" customHeight="1" thickBot="1">
      <c r="B2" s="95" t="s">
        <v>310</v>
      </c>
      <c r="C2" s="5"/>
      <c r="D2" s="5"/>
      <c r="E2" s="5"/>
      <c r="F2" s="5"/>
    </row>
    <row r="3" spans="2:6">
      <c r="B3" s="96" t="s">
        <v>39</v>
      </c>
      <c r="C3" s="97"/>
      <c r="D3" s="97"/>
      <c r="E3" s="97"/>
      <c r="F3" s="5"/>
    </row>
    <row r="4" spans="2:6" ht="24">
      <c r="B4" s="98" t="s">
        <v>40</v>
      </c>
      <c r="C4" s="97"/>
      <c r="D4" s="97"/>
      <c r="E4" s="97"/>
      <c r="F4" s="5"/>
    </row>
    <row r="5" spans="2:6" ht="18.75" customHeight="1">
      <c r="B5" s="98" t="s">
        <v>61</v>
      </c>
      <c r="C5" s="97"/>
      <c r="D5" s="97"/>
      <c r="E5" s="97"/>
      <c r="F5" s="5"/>
    </row>
    <row r="6" spans="2:6">
      <c r="B6" s="98" t="s">
        <v>62</v>
      </c>
      <c r="C6" s="97"/>
      <c r="D6" s="97"/>
      <c r="E6" s="97"/>
      <c r="F6" s="5"/>
    </row>
    <row r="7" spans="2:6">
      <c r="B7" s="99" t="s">
        <v>63</v>
      </c>
      <c r="C7" s="97"/>
      <c r="D7" s="97"/>
      <c r="E7" s="97"/>
      <c r="F7" s="5"/>
    </row>
    <row r="8" spans="2:6">
      <c r="B8" s="98" t="s">
        <v>64</v>
      </c>
      <c r="C8" s="97"/>
      <c r="D8" s="97"/>
      <c r="E8" s="97"/>
      <c r="F8" s="5"/>
    </row>
    <row r="9" spans="2:6" ht="42" customHeight="1">
      <c r="B9" s="98" t="s">
        <v>0</v>
      </c>
      <c r="C9" s="97"/>
      <c r="D9" s="97"/>
      <c r="E9" s="97"/>
      <c r="F9" s="5"/>
    </row>
    <row r="10" spans="2:6">
      <c r="B10" s="98" t="s">
        <v>18</v>
      </c>
      <c r="C10" s="97"/>
      <c r="D10" s="97"/>
      <c r="E10" s="97"/>
      <c r="F10" s="5"/>
    </row>
    <row r="11" spans="2:6">
      <c r="B11" s="100" t="s">
        <v>65</v>
      </c>
      <c r="C11" s="97"/>
      <c r="D11" s="97"/>
      <c r="E11" s="97"/>
      <c r="F11" s="5"/>
    </row>
    <row r="12" spans="2:6">
      <c r="B12" s="100" t="s">
        <v>66</v>
      </c>
      <c r="C12" s="97"/>
      <c r="D12" s="97"/>
      <c r="E12" s="97"/>
      <c r="F12" s="5"/>
    </row>
    <row r="13" spans="2:6">
      <c r="B13" s="100" t="s">
        <v>34</v>
      </c>
      <c r="C13" s="97"/>
      <c r="D13" s="97"/>
      <c r="E13" s="97"/>
      <c r="F13" s="5"/>
    </row>
    <row r="14" spans="2:6" ht="24" customHeight="1">
      <c r="B14" s="100" t="s">
        <v>13</v>
      </c>
      <c r="C14" s="97"/>
      <c r="D14" s="97"/>
      <c r="E14" s="97"/>
      <c r="F14" s="5"/>
    </row>
    <row r="15" spans="2:6" ht="15.75" customHeight="1">
      <c r="C15" s="97"/>
      <c r="D15" s="97"/>
      <c r="E15" s="97"/>
      <c r="F15" s="5"/>
    </row>
    <row r="16" spans="2:6">
      <c r="B16" s="161"/>
      <c r="C16" s="101"/>
      <c r="D16" s="101"/>
      <c r="E16" s="101"/>
      <c r="F16" s="5"/>
    </row>
    <row r="17" spans="2:6">
      <c r="B17" s="97"/>
      <c r="C17" s="101"/>
      <c r="D17" s="101"/>
      <c r="E17" s="101"/>
      <c r="F17" s="5"/>
    </row>
    <row r="18" spans="2:6">
      <c r="B18" s="102"/>
      <c r="C18" s="97"/>
      <c r="D18" s="97"/>
      <c r="E18" s="97"/>
      <c r="F18" s="5"/>
    </row>
    <row r="19" spans="2:6">
      <c r="C19" s="97"/>
      <c r="D19" s="97"/>
      <c r="E19" s="97"/>
      <c r="F19" s="5"/>
    </row>
    <row r="20" spans="2:6">
      <c r="B20" s="97"/>
      <c r="C20" s="5"/>
      <c r="D20" s="5"/>
      <c r="E20" s="5"/>
      <c r="F20" s="5"/>
    </row>
    <row r="21" spans="2:6" ht="13.5" customHeight="1">
      <c r="B21" s="103"/>
    </row>
  </sheetData>
  <sheetProtection password="C4AE" sheet="1" objects="1" scenarios="1"/>
  <phoneticPr fontId="5" type="noConversion"/>
  <pageMargins left="0.75" right="0.75" top="1" bottom="1" header="0.5" footer="0.5"/>
  <pageSetup scale="97"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3"/>
    <pageSetUpPr fitToPage="1"/>
  </sheetPr>
  <dimension ref="B1:I35"/>
  <sheetViews>
    <sheetView showRowColHeaders="0" zoomScale="140" zoomScaleNormal="140" zoomScalePageLayoutView="140" workbookViewId="0"/>
  </sheetViews>
  <sheetFormatPr baseColWidth="10" defaultColWidth="9.1640625" defaultRowHeight="15" x14ac:dyDescent="0"/>
  <cols>
    <col min="1" max="1" width="4.33203125" style="203" customWidth="1"/>
    <col min="2" max="2" width="34.5" style="203" customWidth="1"/>
    <col min="3" max="3" width="26.33203125" style="203" customWidth="1"/>
    <col min="4" max="4" width="3" style="203" customWidth="1"/>
    <col min="5" max="5" width="36.5" style="203" customWidth="1"/>
    <col min="6" max="6" width="20.5" style="203" customWidth="1"/>
    <col min="7" max="7" width="29.33203125" style="203" customWidth="1"/>
    <col min="8" max="8" width="14.6640625" style="203" customWidth="1"/>
    <col min="9" max="9" width="17.1640625" style="203" customWidth="1"/>
    <col min="10" max="16384" width="9.1640625" style="203"/>
  </cols>
  <sheetData>
    <row r="1" spans="2:9" ht="16" thickBot="1"/>
    <row r="2" spans="2:9" ht="34.5" customHeight="1" thickBot="1">
      <c r="B2" s="217" t="s">
        <v>31</v>
      </c>
      <c r="C2" s="218"/>
      <c r="E2" s="217" t="s">
        <v>59</v>
      </c>
      <c r="F2" s="219"/>
      <c r="G2" s="218"/>
    </row>
    <row r="3" spans="2:9" ht="15" customHeight="1">
      <c r="B3" s="110" t="s">
        <v>327</v>
      </c>
      <c r="C3" s="121"/>
      <c r="E3" s="111"/>
      <c r="F3" s="128"/>
      <c r="G3" s="128"/>
      <c r="H3" s="220" t="str">
        <f>IF(OR(G6&lt;0,G7&lt;0,G23&lt;0),"YOU DON'T HAVE ANYTHING TO DISTRIBUTE - INSTEAD YOU OWE MORE THAN YOU OWN","")</f>
        <v/>
      </c>
      <c r="I3" s="221"/>
    </row>
    <row r="4" spans="2:9" ht="15" customHeight="1">
      <c r="B4" s="110" t="s">
        <v>328</v>
      </c>
      <c r="C4" s="122"/>
      <c r="E4" s="111" t="s">
        <v>344</v>
      </c>
      <c r="F4" s="128"/>
      <c r="G4" s="128">
        <f>C15+C33</f>
        <v>105000</v>
      </c>
      <c r="H4" s="222"/>
      <c r="I4" s="223"/>
    </row>
    <row r="5" spans="2:9" ht="15" customHeight="1">
      <c r="B5" s="110" t="s">
        <v>324</v>
      </c>
      <c r="C5" s="122"/>
      <c r="E5" s="111" t="s">
        <v>346</v>
      </c>
      <c r="F5" s="129">
        <v>5000</v>
      </c>
      <c r="G5" s="128"/>
      <c r="H5" s="224"/>
      <c r="I5" s="225"/>
    </row>
    <row r="6" spans="2:9" ht="15" customHeight="1">
      <c r="B6" s="112"/>
      <c r="C6" s="125"/>
      <c r="E6" s="111" t="s">
        <v>347</v>
      </c>
      <c r="F6" s="128"/>
      <c r="G6" s="125">
        <f>G4-F5</f>
        <v>100000</v>
      </c>
    </row>
    <row r="7" spans="2:9" ht="15" customHeight="1">
      <c r="B7" s="113" t="s">
        <v>334</v>
      </c>
      <c r="C7" s="125"/>
      <c r="E7" s="111" t="s">
        <v>343</v>
      </c>
      <c r="F7" s="128"/>
      <c r="G7" s="125">
        <f>G6-C24</f>
        <v>100000</v>
      </c>
    </row>
    <row r="8" spans="2:9" ht="15" customHeight="1">
      <c r="B8" s="114" t="s">
        <v>23</v>
      </c>
      <c r="C8" s="123">
        <v>10000</v>
      </c>
      <c r="E8" s="113" t="s">
        <v>1</v>
      </c>
      <c r="F8" s="128"/>
      <c r="G8" s="202">
        <f>G7*(1/3)</f>
        <v>33333.333333333328</v>
      </c>
    </row>
    <row r="9" spans="2:9" ht="15" customHeight="1">
      <c r="B9" s="114" t="s">
        <v>30</v>
      </c>
      <c r="C9" s="123"/>
      <c r="E9" s="111"/>
      <c r="F9" s="128"/>
      <c r="G9" s="125"/>
    </row>
    <row r="10" spans="2:9" ht="15" customHeight="1">
      <c r="B10" s="114" t="s">
        <v>339</v>
      </c>
      <c r="C10" s="123">
        <v>10000</v>
      </c>
      <c r="E10" s="111"/>
      <c r="F10" s="128"/>
      <c r="G10" s="125"/>
    </row>
    <row r="11" spans="2:9" ht="15" customHeight="1">
      <c r="B11" s="114" t="s">
        <v>330</v>
      </c>
      <c r="C11" s="123">
        <v>20000</v>
      </c>
      <c r="E11" s="113" t="s">
        <v>345</v>
      </c>
      <c r="F11" s="128"/>
      <c r="G11" s="125"/>
    </row>
    <row r="12" spans="2:9" ht="15" customHeight="1">
      <c r="B12" s="114" t="s">
        <v>4</v>
      </c>
      <c r="C12" s="123">
        <v>65000</v>
      </c>
      <c r="E12" s="115" t="s">
        <v>10</v>
      </c>
      <c r="F12" s="130"/>
      <c r="G12" s="125"/>
    </row>
    <row r="13" spans="2:9" ht="15" customHeight="1">
      <c r="B13" s="114" t="s">
        <v>3</v>
      </c>
      <c r="C13" s="123"/>
      <c r="E13" s="115" t="s">
        <v>7</v>
      </c>
      <c r="F13" s="130"/>
      <c r="G13" s="125"/>
    </row>
    <row r="14" spans="2:9" ht="15" customHeight="1">
      <c r="B14" s="114" t="s">
        <v>25</v>
      </c>
      <c r="C14" s="123"/>
      <c r="E14" s="115" t="s">
        <v>8</v>
      </c>
      <c r="F14" s="130"/>
      <c r="G14" s="125"/>
    </row>
    <row r="15" spans="2:9" ht="15" customHeight="1">
      <c r="B15" s="116" t="s">
        <v>329</v>
      </c>
      <c r="C15" s="124">
        <f>SUM(C8:C14)</f>
        <v>105000</v>
      </c>
      <c r="E15" s="115" t="s">
        <v>9</v>
      </c>
      <c r="F15" s="130"/>
      <c r="G15" s="125"/>
    </row>
    <row r="16" spans="2:9" ht="15" customHeight="1">
      <c r="B16" s="111"/>
      <c r="C16" s="125"/>
      <c r="E16" s="115" t="s">
        <v>11</v>
      </c>
      <c r="F16" s="130"/>
      <c r="G16" s="125"/>
    </row>
    <row r="17" spans="2:9" ht="15" customHeight="1">
      <c r="B17" s="113" t="s">
        <v>332</v>
      </c>
      <c r="C17" s="125"/>
      <c r="E17" s="115" t="s">
        <v>12</v>
      </c>
      <c r="F17" s="130"/>
      <c r="G17" s="125"/>
    </row>
    <row r="18" spans="2:9" ht="15" customHeight="1">
      <c r="B18" s="114" t="s">
        <v>23</v>
      </c>
      <c r="C18" s="123"/>
      <c r="E18" s="115" t="s">
        <v>28</v>
      </c>
      <c r="F18" s="130"/>
      <c r="G18" s="125"/>
    </row>
    <row r="19" spans="2:9" ht="15" customHeight="1">
      <c r="B19" s="114" t="s">
        <v>26</v>
      </c>
      <c r="C19" s="123"/>
      <c r="E19" s="115" t="s">
        <v>29</v>
      </c>
      <c r="F19" s="130"/>
      <c r="G19" s="125"/>
    </row>
    <row r="20" spans="2:9" ht="15" customHeight="1">
      <c r="B20" s="114" t="s">
        <v>24</v>
      </c>
      <c r="C20" s="123"/>
      <c r="E20" s="116" t="s">
        <v>329</v>
      </c>
      <c r="F20" s="131">
        <f>SUM(F12:F19)</f>
        <v>0</v>
      </c>
      <c r="G20" s="127" t="str">
        <f>IF(F20&gt;G8,"Error!, Disposition Amount Greater than Allowed","")</f>
        <v/>
      </c>
    </row>
    <row r="21" spans="2:9" ht="15" customHeight="1">
      <c r="B21" s="114" t="s">
        <v>27</v>
      </c>
      <c r="C21" s="123"/>
      <c r="E21" s="111"/>
      <c r="F21" s="128"/>
      <c r="G21" s="125"/>
    </row>
    <row r="22" spans="2:9" ht="15" customHeight="1" thickBot="1">
      <c r="B22" s="114" t="s">
        <v>333</v>
      </c>
      <c r="C22" s="123"/>
      <c r="E22" s="111"/>
      <c r="F22" s="128"/>
      <c r="G22" s="125"/>
    </row>
    <row r="23" spans="2:9" ht="15" customHeight="1" thickBot="1">
      <c r="B23" s="114" t="s">
        <v>25</v>
      </c>
      <c r="C23" s="123"/>
      <c r="E23" s="117" t="s">
        <v>2</v>
      </c>
      <c r="F23" s="132"/>
      <c r="G23" s="133">
        <f>IF(G7-F20&gt;0,G7-F20,"NOTHING TO DISTRIBUTE")</f>
        <v>100000</v>
      </c>
    </row>
    <row r="24" spans="2:9" ht="15" customHeight="1">
      <c r="B24" s="116" t="s">
        <v>329</v>
      </c>
      <c r="C24" s="124">
        <f>SUM(C18:C23)</f>
        <v>0</v>
      </c>
    </row>
    <row r="25" spans="2:9" ht="15" customHeight="1">
      <c r="B25" s="111"/>
      <c r="C25" s="125"/>
      <c r="E25" s="204"/>
      <c r="F25" s="205"/>
      <c r="G25" s="205"/>
      <c r="H25" s="206"/>
      <c r="I25" s="207"/>
    </row>
    <row r="26" spans="2:9" ht="15" customHeight="1">
      <c r="B26" s="118" t="s">
        <v>32</v>
      </c>
      <c r="C26" s="125"/>
      <c r="E26" s="216"/>
      <c r="F26" s="216"/>
      <c r="G26" s="216"/>
      <c r="H26" s="216"/>
      <c r="I26" s="208"/>
    </row>
    <row r="27" spans="2:9" ht="15" customHeight="1">
      <c r="B27" s="114" t="s">
        <v>340</v>
      </c>
      <c r="C27" s="123"/>
      <c r="E27" s="216"/>
      <c r="F27" s="216"/>
      <c r="G27" s="216"/>
      <c r="H27" s="216"/>
      <c r="I27" s="208"/>
    </row>
    <row r="28" spans="2:9" ht="15" customHeight="1">
      <c r="B28" s="114" t="s">
        <v>341</v>
      </c>
      <c r="C28" s="123"/>
      <c r="E28" s="216"/>
      <c r="F28" s="216"/>
      <c r="G28" s="216"/>
      <c r="H28" s="216"/>
      <c r="I28" s="208"/>
    </row>
    <row r="29" spans="2:9" ht="15" customHeight="1">
      <c r="B29" s="114" t="s">
        <v>342</v>
      </c>
      <c r="C29" s="123"/>
      <c r="E29" s="216"/>
      <c r="F29" s="216"/>
      <c r="G29" s="216"/>
      <c r="H29" s="216"/>
      <c r="I29" s="208"/>
    </row>
    <row r="30" spans="2:9" ht="15" customHeight="1">
      <c r="B30" s="119" t="s">
        <v>25</v>
      </c>
      <c r="C30" s="123"/>
      <c r="E30" s="216"/>
      <c r="F30" s="216"/>
      <c r="G30" s="216"/>
      <c r="H30" s="216"/>
      <c r="I30" s="208"/>
    </row>
    <row r="31" spans="2:9" ht="15" customHeight="1">
      <c r="B31" s="114" t="s">
        <v>25</v>
      </c>
      <c r="C31" s="123"/>
      <c r="E31" s="216"/>
      <c r="F31" s="216"/>
      <c r="G31" s="216"/>
      <c r="H31" s="216"/>
      <c r="I31" s="208"/>
    </row>
    <row r="32" spans="2:9" ht="15" customHeight="1">
      <c r="B32" s="114" t="s">
        <v>25</v>
      </c>
      <c r="C32" s="123"/>
      <c r="E32" s="216"/>
      <c r="F32" s="216"/>
      <c r="G32" s="216"/>
      <c r="H32" s="216"/>
      <c r="I32" s="208"/>
    </row>
    <row r="33" spans="2:9" ht="15" customHeight="1" thickBot="1">
      <c r="B33" s="120"/>
      <c r="C33" s="126">
        <f>SUM(C27:C32)</f>
        <v>0</v>
      </c>
      <c r="E33" s="216"/>
      <c r="F33" s="216"/>
      <c r="G33" s="216"/>
      <c r="H33" s="216"/>
      <c r="I33" s="208"/>
    </row>
    <row r="34" spans="2:9" ht="14.25" customHeight="1">
      <c r="E34" s="207"/>
      <c r="F34" s="205"/>
      <c r="G34" s="205"/>
      <c r="H34" s="206"/>
      <c r="I34" s="208"/>
    </row>
    <row r="35" spans="2:9" ht="14.25" customHeight="1">
      <c r="E35" s="204"/>
      <c r="F35" s="205"/>
      <c r="G35" s="205"/>
      <c r="H35" s="206"/>
      <c r="I35" s="207"/>
    </row>
  </sheetData>
  <sheetProtection password="C4AE" sheet="1" objects="1" scenarios="1"/>
  <protectedRanges>
    <protectedRange sqref="C3:C5 B8:C14 B18:C23 B27:C32 F5 E12:F19" name=""/>
  </protectedRanges>
  <mergeCells count="11">
    <mergeCell ref="B2:C2"/>
    <mergeCell ref="E2:G2"/>
    <mergeCell ref="E26:H26"/>
    <mergeCell ref="E27:H27"/>
    <mergeCell ref="H3:I5"/>
    <mergeCell ref="E33:H33"/>
    <mergeCell ref="E28:H28"/>
    <mergeCell ref="E29:H29"/>
    <mergeCell ref="E30:H30"/>
    <mergeCell ref="E31:H31"/>
    <mergeCell ref="E32:H32"/>
  </mergeCells>
  <phoneticPr fontId="0" type="noConversion"/>
  <pageMargins left="0.75" right="0.75" top="1" bottom="1" header="0.5" footer="0.5"/>
  <pageSetup scale="65" orientation="landscape"/>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13"/>
  </sheetPr>
  <dimension ref="A1:Y43"/>
  <sheetViews>
    <sheetView showRowColHeaders="0" zoomScale="125" zoomScaleNormal="125" zoomScalePageLayoutView="125" workbookViewId="0"/>
  </sheetViews>
  <sheetFormatPr baseColWidth="10" defaultColWidth="9.1640625" defaultRowHeight="12" x14ac:dyDescent="0"/>
  <cols>
    <col min="1" max="4" width="9.1640625" style="106"/>
    <col min="5" max="5" width="9.5" style="106" customWidth="1"/>
    <col min="6" max="16384" width="9.1640625" style="106"/>
  </cols>
  <sheetData>
    <row r="1" spans="1:23" ht="13" thickBot="1"/>
    <row r="2" spans="1:23" ht="13" thickBot="1">
      <c r="A2" s="6" t="s">
        <v>60</v>
      </c>
      <c r="B2" s="104"/>
      <c r="C2" s="104"/>
      <c r="D2" s="104"/>
      <c r="E2" s="104"/>
      <c r="F2" s="104"/>
      <c r="G2" s="104"/>
      <c r="H2" s="104"/>
      <c r="I2" s="104"/>
      <c r="J2" s="104"/>
      <c r="K2" s="104"/>
      <c r="L2" s="104"/>
      <c r="M2" s="104"/>
      <c r="N2" s="104"/>
      <c r="O2" s="104"/>
      <c r="P2" s="104"/>
      <c r="Q2" s="104"/>
      <c r="R2" s="104"/>
      <c r="S2" s="104"/>
      <c r="T2" s="104"/>
      <c r="U2" s="104"/>
      <c r="V2" s="104"/>
      <c r="W2" s="105"/>
    </row>
    <row r="4" spans="1:23">
      <c r="S4" s="226"/>
      <c r="T4" s="226"/>
      <c r="U4" s="226"/>
      <c r="V4" s="226"/>
    </row>
    <row r="5" spans="1:23">
      <c r="S5" s="226"/>
      <c r="T5" s="226"/>
      <c r="U5" s="226"/>
      <c r="V5" s="226"/>
    </row>
    <row r="6" spans="1:23">
      <c r="S6" s="227"/>
      <c r="T6" s="227"/>
      <c r="U6" s="227"/>
      <c r="V6" s="227"/>
    </row>
    <row r="7" spans="1:23">
      <c r="S7" s="227"/>
      <c r="T7" s="227"/>
      <c r="U7" s="227"/>
      <c r="V7" s="227"/>
    </row>
    <row r="29" spans="20:25" ht="12.75" customHeight="1">
      <c r="T29" s="108"/>
      <c r="U29" s="108"/>
      <c r="V29" s="108"/>
      <c r="W29" s="108"/>
      <c r="X29" s="10"/>
      <c r="Y29" s="10"/>
    </row>
    <row r="30" spans="20:25">
      <c r="T30" s="108"/>
      <c r="U30" s="108"/>
      <c r="V30" s="108"/>
      <c r="W30" s="108"/>
      <c r="X30" s="10"/>
      <c r="Y30" s="10"/>
    </row>
    <row r="31" spans="20:25">
      <c r="T31" s="108"/>
      <c r="U31" s="108"/>
      <c r="V31" s="108"/>
      <c r="W31" s="108"/>
      <c r="X31" s="10"/>
      <c r="Y31" s="10"/>
    </row>
    <row r="32" spans="20:25">
      <c r="T32" s="108"/>
      <c r="U32" s="108"/>
      <c r="V32" s="108"/>
      <c r="W32" s="108"/>
      <c r="X32" s="107"/>
      <c r="Y32" s="107"/>
    </row>
    <row r="33" spans="20:25">
      <c r="T33" s="108"/>
      <c r="U33" s="108"/>
      <c r="V33" s="108"/>
      <c r="W33" s="108"/>
      <c r="X33" s="107"/>
      <c r="Y33" s="107"/>
    </row>
    <row r="34" spans="20:25">
      <c r="T34" s="108"/>
      <c r="U34" s="108"/>
      <c r="V34" s="108"/>
      <c r="W34" s="108"/>
      <c r="X34" s="107"/>
      <c r="Y34" s="107"/>
    </row>
    <row r="35" spans="20:25">
      <c r="T35" s="108"/>
      <c r="U35" s="108"/>
      <c r="V35" s="108"/>
      <c r="W35" s="108"/>
      <c r="X35" s="107"/>
      <c r="Y35" s="107"/>
    </row>
    <row r="36" spans="20:25">
      <c r="T36" s="108"/>
      <c r="U36" s="108"/>
      <c r="V36" s="108"/>
      <c r="W36" s="108"/>
      <c r="X36" s="107"/>
      <c r="Y36" s="107"/>
    </row>
    <row r="37" spans="20:25">
      <c r="T37" s="108"/>
      <c r="U37" s="108"/>
      <c r="V37" s="108"/>
      <c r="W37" s="108"/>
      <c r="X37" s="107"/>
      <c r="Y37" s="107"/>
    </row>
    <row r="38" spans="20:25">
      <c r="T38" s="108"/>
      <c r="U38" s="108"/>
      <c r="V38" s="108"/>
      <c r="W38" s="108"/>
      <c r="X38" s="107"/>
      <c r="Y38" s="107"/>
    </row>
    <row r="39" spans="20:25">
      <c r="T39" s="108"/>
      <c r="U39" s="108"/>
      <c r="V39" s="108"/>
      <c r="W39" s="108"/>
      <c r="X39" s="107"/>
      <c r="Y39" s="107"/>
    </row>
    <row r="40" spans="20:25">
      <c r="T40" s="108"/>
      <c r="U40" s="108"/>
      <c r="V40" s="108"/>
      <c r="W40" s="108"/>
      <c r="X40" s="107"/>
      <c r="Y40" s="107"/>
    </row>
    <row r="41" spans="20:25">
      <c r="T41" s="108"/>
      <c r="U41" s="108"/>
      <c r="V41" s="108"/>
      <c r="W41" s="108"/>
      <c r="X41" s="107"/>
      <c r="Y41" s="107"/>
    </row>
    <row r="42" spans="20:25">
      <c r="T42" s="108"/>
      <c r="U42" s="108"/>
      <c r="V42" s="108"/>
      <c r="W42" s="108"/>
    </row>
    <row r="43" spans="20:25">
      <c r="T43" s="108"/>
      <c r="U43" s="108"/>
      <c r="V43" s="108"/>
      <c r="W43" s="108"/>
    </row>
  </sheetData>
  <sheetProtection password="C4AE" sheet="1" objects="1" scenarios="1"/>
  <mergeCells count="4">
    <mergeCell ref="S4:V4"/>
    <mergeCell ref="S5:V5"/>
    <mergeCell ref="S6:V6"/>
    <mergeCell ref="S7:V7"/>
  </mergeCells>
  <phoneticPr fontId="5" type="noConversion"/>
  <pageMargins left="0.75" right="0.75" top="1" bottom="1" header="0.5" footer="0.5"/>
  <pageSetup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2"/>
    <pageSetUpPr fitToPage="1"/>
  </sheetPr>
  <dimension ref="A1:O24"/>
  <sheetViews>
    <sheetView showRowColHeaders="0" zoomScale="150" zoomScaleNormal="150" zoomScalePageLayoutView="150" workbookViewId="0">
      <selection activeCell="C8" sqref="C8"/>
    </sheetView>
  </sheetViews>
  <sheetFormatPr baseColWidth="10" defaultColWidth="9.1640625" defaultRowHeight="12" x14ac:dyDescent="0"/>
  <cols>
    <col min="1" max="1" width="1.5" style="1" customWidth="1"/>
    <col min="2" max="2" width="51.83203125" style="1" customWidth="1"/>
    <col min="3" max="3" width="4.83203125" style="1" customWidth="1"/>
    <col min="4" max="4" width="11.5" style="1" customWidth="1"/>
    <col min="5" max="5" width="9" style="1" customWidth="1"/>
    <col min="6" max="14" width="9.1640625" style="1"/>
    <col min="15" max="15" width="3.33203125" style="1" customWidth="1"/>
    <col min="16" max="16384" width="9.1640625" style="1"/>
  </cols>
  <sheetData>
    <row r="1" spans="1:15">
      <c r="A1" s="13">
        <f>Inputs!G23</f>
        <v>100000</v>
      </c>
    </row>
    <row r="2" spans="1:15" ht="13" thickBot="1"/>
    <row r="3" spans="1:15" ht="13" thickBot="1">
      <c r="B3" s="14" t="s">
        <v>236</v>
      </c>
      <c r="D3" s="8"/>
      <c r="E3" s="229" t="s">
        <v>361</v>
      </c>
      <c r="F3" s="230"/>
      <c r="G3" s="230"/>
      <c r="H3" s="230"/>
      <c r="I3" s="230"/>
      <c r="J3" s="230"/>
      <c r="K3" s="230"/>
      <c r="L3" s="230"/>
      <c r="M3" s="230"/>
      <c r="N3" s="231"/>
    </row>
    <row r="4" spans="1:15" ht="111" customHeight="1" thickBot="1">
      <c r="A4" s="8"/>
      <c r="B4" s="15" t="s">
        <v>19</v>
      </c>
      <c r="C4" s="8" t="s">
        <v>386</v>
      </c>
      <c r="D4" s="8"/>
      <c r="E4" s="19" t="s">
        <v>337</v>
      </c>
      <c r="F4" s="19" t="s">
        <v>338</v>
      </c>
      <c r="G4" s="19" t="s">
        <v>356</v>
      </c>
      <c r="H4" s="19" t="s">
        <v>335</v>
      </c>
      <c r="I4" s="19" t="s">
        <v>336</v>
      </c>
      <c r="J4" s="19" t="s">
        <v>348</v>
      </c>
      <c r="K4" s="19" t="s">
        <v>349</v>
      </c>
      <c r="L4" s="19" t="s">
        <v>350</v>
      </c>
      <c r="M4" s="19" t="s">
        <v>359</v>
      </c>
      <c r="N4" s="19" t="s">
        <v>360</v>
      </c>
    </row>
    <row r="5" spans="1:15" ht="13" thickBot="1">
      <c r="A5" s="8"/>
      <c r="B5" s="16" t="s">
        <v>357</v>
      </c>
      <c r="C5" s="11">
        <v>1</v>
      </c>
      <c r="D5" s="164" t="s">
        <v>234</v>
      </c>
      <c r="E5" s="165">
        <f>(A1-G7-H8-I9-J10-K11-L12-M13-N14)/(C5+(C6/2))*(C5)</f>
        <v>20833.333333333336</v>
      </c>
      <c r="F5" s="166"/>
      <c r="G5" s="166"/>
      <c r="H5" s="166"/>
      <c r="I5" s="166"/>
      <c r="J5" s="166"/>
      <c r="K5" s="166"/>
      <c r="L5" s="166"/>
      <c r="M5" s="166"/>
      <c r="N5" s="166"/>
      <c r="O5" s="167"/>
    </row>
    <row r="6" spans="1:15" ht="13" thickBot="1">
      <c r="A6" s="8"/>
      <c r="B6" s="17" t="s">
        <v>358</v>
      </c>
      <c r="C6" s="12">
        <v>2</v>
      </c>
      <c r="D6" s="168" t="s">
        <v>351</v>
      </c>
      <c r="E6" s="169"/>
      <c r="F6" s="165">
        <f>(A1-G7-H8-I9-J10-K11-L12-M13-N14)/(C5+(C6/2))*(C6/2)</f>
        <v>20833.333333333336</v>
      </c>
      <c r="G6" s="166"/>
      <c r="H6" s="166"/>
      <c r="I6" s="166"/>
      <c r="J6" s="166"/>
      <c r="K6" s="166"/>
      <c r="L6" s="166"/>
      <c r="M6" s="166"/>
      <c r="N6" s="166"/>
      <c r="O6" s="167"/>
    </row>
    <row r="7" spans="1:15" ht="25" thickBot="1">
      <c r="A7" s="8"/>
      <c r="B7" s="18" t="s">
        <v>17</v>
      </c>
      <c r="C7" s="12" t="s">
        <v>396</v>
      </c>
      <c r="D7" s="228" t="s">
        <v>308</v>
      </c>
      <c r="E7" s="228"/>
      <c r="F7" s="169"/>
      <c r="G7" s="165">
        <f>IF(C7="w",((1/8)*A1), IF(C7="h",((1/4)*A1),0))</f>
        <v>25000</v>
      </c>
      <c r="H7" s="166"/>
      <c r="I7" s="166"/>
      <c r="J7" s="166"/>
      <c r="K7" s="166"/>
      <c r="L7" s="166"/>
      <c r="M7" s="166"/>
      <c r="N7" s="166"/>
      <c r="O7" s="167"/>
    </row>
    <row r="8" spans="1:15" ht="13" thickBot="1">
      <c r="A8" s="8"/>
      <c r="B8" s="17" t="s">
        <v>353</v>
      </c>
      <c r="C8" s="12" t="s">
        <v>331</v>
      </c>
      <c r="D8" s="168" t="s">
        <v>307</v>
      </c>
      <c r="E8" s="169"/>
      <c r="F8" s="169"/>
      <c r="G8" s="169"/>
      <c r="H8" s="165">
        <f>IF(C8="Y",(1/6)*A1,0)</f>
        <v>16666.666666666664</v>
      </c>
      <c r="I8" s="166"/>
      <c r="J8" s="166"/>
      <c r="K8" s="166"/>
      <c r="L8" s="166"/>
      <c r="M8" s="166"/>
      <c r="N8" s="166"/>
      <c r="O8" s="167"/>
    </row>
    <row r="9" spans="1:15" ht="13" thickBot="1">
      <c r="A9" s="8"/>
      <c r="B9" s="17" t="s">
        <v>354</v>
      </c>
      <c r="C9" s="12" t="s">
        <v>331</v>
      </c>
      <c r="D9" s="168" t="s">
        <v>307</v>
      </c>
      <c r="E9" s="169"/>
      <c r="F9" s="169"/>
      <c r="G9" s="169"/>
      <c r="H9" s="169"/>
      <c r="I9" s="165">
        <f>IF(C9="Y",(1/6)*A1,0)</f>
        <v>16666.666666666664</v>
      </c>
      <c r="J9" s="166"/>
      <c r="K9" s="166"/>
      <c r="L9" s="166"/>
      <c r="M9" s="166"/>
      <c r="N9" s="166"/>
      <c r="O9" s="167"/>
    </row>
    <row r="10" spans="1:15" ht="13" thickBot="1">
      <c r="A10" s="8"/>
      <c r="B10" s="17" t="str">
        <f>IF(C8="y","SKIP","Is the father of father alive?")</f>
        <v>SKIP</v>
      </c>
      <c r="C10" s="12" t="s">
        <v>352</v>
      </c>
      <c r="D10" s="168" t="s">
        <v>307</v>
      </c>
      <c r="E10" s="169"/>
      <c r="F10" s="169"/>
      <c r="G10" s="169"/>
      <c r="H10" s="169"/>
      <c r="I10" s="169"/>
      <c r="J10" s="165">
        <f>IF(B10="SKIP",0,IF(C10="Y",(1/6)*A1,))</f>
        <v>0</v>
      </c>
      <c r="K10" s="166"/>
      <c r="L10" s="166"/>
      <c r="M10" s="166"/>
      <c r="N10" s="166"/>
      <c r="O10" s="167"/>
    </row>
    <row r="11" spans="1:15" ht="13" thickBot="1">
      <c r="A11" s="8"/>
      <c r="B11" s="17" t="str">
        <f>IF(OR(C8="y",C9="y"),"SKIP","Is the mother of father alive?")</f>
        <v>SKIP</v>
      </c>
      <c r="C11" s="12" t="s">
        <v>352</v>
      </c>
      <c r="D11" s="168" t="s">
        <v>307</v>
      </c>
      <c r="E11" s="169"/>
      <c r="F11" s="169"/>
      <c r="G11" s="169"/>
      <c r="H11" s="169"/>
      <c r="I11" s="169"/>
      <c r="J11" s="169"/>
      <c r="K11" s="165">
        <f>IF(B11="SKIP",0,IF(AND(C11="Y",C12="Y"),((1/6)*A1)/2,IF(C11="Y",(1/6)*A1,)))</f>
        <v>0</v>
      </c>
      <c r="L11" s="166"/>
      <c r="M11" s="166"/>
      <c r="N11" s="166"/>
      <c r="O11" s="167"/>
    </row>
    <row r="12" spans="1:15" ht="13" thickBot="1">
      <c r="A12" s="8"/>
      <c r="B12" s="17" t="str">
        <f>IF(C9="N","Is the mother of mother alive?","SKIP")</f>
        <v>SKIP</v>
      </c>
      <c r="C12" s="12" t="s">
        <v>352</v>
      </c>
      <c r="D12" s="168" t="s">
        <v>307</v>
      </c>
      <c r="E12" s="169"/>
      <c r="F12" s="169"/>
      <c r="G12" s="169"/>
      <c r="H12" s="169"/>
      <c r="I12" s="169"/>
      <c r="J12" s="169"/>
      <c r="K12" s="169"/>
      <c r="L12" s="165">
        <f>IF(B12="SKIP",0,IF(AND(C11="Y",C12="Y"),((1/6)*A1)/2,IF(C12="Y",(1/6)*A1,)))</f>
        <v>0</v>
      </c>
      <c r="M12" s="166"/>
      <c r="N12" s="166"/>
      <c r="O12" s="167"/>
    </row>
    <row r="13" spans="1:15" ht="13" thickBot="1">
      <c r="A13" s="8"/>
      <c r="B13" s="17" t="str">
        <f>IF(OR(C8="y",C10="y",C11="y"),"SKIP","Is the mother of mother of father alive?")</f>
        <v>SKIP</v>
      </c>
      <c r="C13" s="12" t="s">
        <v>352</v>
      </c>
      <c r="D13" s="168" t="s">
        <v>307</v>
      </c>
      <c r="E13" s="169"/>
      <c r="F13" s="169"/>
      <c r="G13" s="169"/>
      <c r="H13" s="169"/>
      <c r="I13" s="169"/>
      <c r="J13" s="169"/>
      <c r="K13" s="169"/>
      <c r="L13" s="169"/>
      <c r="M13" s="165">
        <f>IF(B13="SKIP",0,IF(AND(C13="Y",C14="Y"),((1/6)*A1)/2,IF(C13="Y",(1/6)*A1,)))</f>
        <v>0</v>
      </c>
      <c r="N13" s="166"/>
      <c r="O13" s="167"/>
    </row>
    <row r="14" spans="1:15" ht="13" thickBot="1">
      <c r="A14" s="8"/>
      <c r="B14" s="16" t="str">
        <f>IF(AND(C9="n",C12="n"),"Is the mother of mother of mother alive?",IF(C9="Y","SKIP", IF(C12="Y","SKIP")))</f>
        <v>SKIP</v>
      </c>
      <c r="C14" s="11" t="s">
        <v>352</v>
      </c>
      <c r="D14" s="170" t="s">
        <v>307</v>
      </c>
      <c r="E14" s="171"/>
      <c r="F14" s="171"/>
      <c r="G14" s="171"/>
      <c r="H14" s="171"/>
      <c r="I14" s="171"/>
      <c r="J14" s="171"/>
      <c r="K14" s="171"/>
      <c r="L14" s="171"/>
      <c r="M14" s="171"/>
      <c r="N14" s="165">
        <f>IF(B14="SKIP",0,IF(AND(C13="Y",C14="Y"),((1/6)*A1)/2,IF(C14="Y",(1/6)*A1,)))</f>
        <v>0</v>
      </c>
      <c r="O14" s="167"/>
    </row>
    <row r="15" spans="1:15">
      <c r="D15" s="8"/>
      <c r="E15" s="8"/>
      <c r="F15" s="8"/>
      <c r="G15" s="8"/>
      <c r="H15" s="8"/>
      <c r="I15" s="8"/>
      <c r="J15" s="8"/>
      <c r="K15" s="8"/>
      <c r="L15" s="8"/>
      <c r="M15" s="8"/>
      <c r="N15" s="8"/>
    </row>
    <row r="16" spans="1:15">
      <c r="D16" s="8"/>
      <c r="E16" s="8"/>
      <c r="F16" s="8"/>
      <c r="G16" s="8"/>
      <c r="H16" s="8"/>
      <c r="I16" s="8"/>
      <c r="J16" s="8"/>
      <c r="K16" s="8"/>
      <c r="L16" s="8"/>
      <c r="M16" s="8"/>
      <c r="N16" s="8"/>
    </row>
    <row r="17" spans="2:14">
      <c r="D17" s="21" t="str">
        <f>IF(C5&lt;1, "ERROR - # of Sons must be at least 1","")</f>
        <v/>
      </c>
      <c r="E17" s="22"/>
      <c r="F17" s="22"/>
      <c r="G17" s="22"/>
      <c r="H17" s="22"/>
      <c r="I17" s="23"/>
      <c r="J17" s="8"/>
      <c r="K17" s="8"/>
      <c r="L17" s="8"/>
      <c r="M17" s="8"/>
      <c r="N17" s="8"/>
    </row>
    <row r="18" spans="2:14">
      <c r="D18" s="8"/>
      <c r="E18" s="8"/>
      <c r="F18" s="8"/>
      <c r="G18" s="8"/>
      <c r="H18" s="8"/>
      <c r="I18" s="8"/>
      <c r="J18" s="8"/>
      <c r="K18" s="8"/>
      <c r="L18" s="8"/>
      <c r="M18" s="8"/>
      <c r="N18" s="8"/>
    </row>
    <row r="19" spans="2:14">
      <c r="B19" s="214"/>
      <c r="C19" s="214"/>
      <c r="D19" s="215">
        <f>E5</f>
        <v>20833.333333333336</v>
      </c>
      <c r="E19" s="214"/>
      <c r="F19" s="214"/>
    </row>
    <row r="20" spans="2:14">
      <c r="B20" s="214"/>
      <c r="C20" s="214"/>
      <c r="D20" s="214">
        <f>F6/2</f>
        <v>10416.666666666668</v>
      </c>
      <c r="E20" s="214">
        <f>F6/2</f>
        <v>10416.666666666668</v>
      </c>
      <c r="F20" s="214"/>
    </row>
    <row r="21" spans="2:14">
      <c r="B21" s="214"/>
      <c r="C21" s="214"/>
      <c r="D21" s="215">
        <f>G7</f>
        <v>25000</v>
      </c>
      <c r="E21" s="214"/>
      <c r="F21" s="214"/>
    </row>
    <row r="22" spans="2:14">
      <c r="B22" s="214"/>
      <c r="C22" s="214"/>
      <c r="D22" s="214"/>
      <c r="E22" s="215">
        <f>H8</f>
        <v>16666.666666666664</v>
      </c>
      <c r="F22" s="214"/>
    </row>
    <row r="23" spans="2:14">
      <c r="B23" s="214"/>
      <c r="C23" s="214"/>
      <c r="D23" s="214"/>
      <c r="E23" s="215">
        <f>I9</f>
        <v>16666.666666666664</v>
      </c>
      <c r="F23" s="214"/>
    </row>
    <row r="24" spans="2:14">
      <c r="B24" s="214"/>
      <c r="C24" s="214"/>
      <c r="D24" s="214"/>
      <c r="E24" s="214"/>
      <c r="F24" s="214"/>
    </row>
  </sheetData>
  <sheetProtection password="C4AE" sheet="1" objects="1" scenarios="1"/>
  <mergeCells count="2">
    <mergeCell ref="D7:E7"/>
    <mergeCell ref="E3:N3"/>
  </mergeCells>
  <phoneticPr fontId="5" type="noConversion"/>
  <pageMargins left="0.75" right="0.75" top="1" bottom="1" header="0.5" footer="0.5"/>
  <pageSetup scale="75"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5"/>
    <pageSetUpPr fitToPage="1"/>
  </sheetPr>
  <dimension ref="A1:U43"/>
  <sheetViews>
    <sheetView showRowColHeaders="0" zoomScale="150" zoomScaleNormal="150" zoomScalePageLayoutView="150" workbookViewId="0">
      <selection activeCell="C15" sqref="C15"/>
    </sheetView>
  </sheetViews>
  <sheetFormatPr baseColWidth="10" defaultColWidth="9.1640625" defaultRowHeight="12" x14ac:dyDescent="0"/>
  <cols>
    <col min="1" max="1" width="1.5" style="1" customWidth="1"/>
    <col min="2" max="2" width="36.6640625" style="1" customWidth="1"/>
    <col min="3" max="3" width="5" style="1" customWidth="1"/>
    <col min="4" max="4" width="10.5" style="1" customWidth="1"/>
    <col min="5" max="5" width="9.6640625" style="1" customWidth="1"/>
    <col min="6" max="6" width="9.5" style="1" customWidth="1"/>
    <col min="7" max="7" width="9.1640625" style="1"/>
    <col min="8" max="9" width="9.33203125" style="1" bestFit="1" customWidth="1"/>
    <col min="10" max="10" width="9.1640625" style="1"/>
    <col min="11" max="11" width="8.5" style="1" customWidth="1"/>
    <col min="12" max="14" width="9.33203125" style="1" bestFit="1" customWidth="1"/>
    <col min="15" max="16" width="9.1640625" style="1"/>
    <col min="17" max="17" width="9.5" style="1" customWidth="1"/>
    <col min="18" max="16384" width="9.1640625" style="1"/>
  </cols>
  <sheetData>
    <row r="1" spans="1:21" ht="13" thickBot="1">
      <c r="A1" s="8">
        <f>Inputs!G23</f>
        <v>100000</v>
      </c>
    </row>
    <row r="2" spans="1:21" ht="13" thickBot="1">
      <c r="B2" s="31" t="s">
        <v>22</v>
      </c>
      <c r="C2" s="8"/>
      <c r="D2" s="8"/>
      <c r="E2" s="8"/>
      <c r="F2" s="8"/>
      <c r="G2" s="8"/>
      <c r="H2" s="8"/>
      <c r="I2" s="8"/>
      <c r="J2" s="8"/>
      <c r="K2" s="8"/>
      <c r="L2" s="8"/>
      <c r="M2" s="8"/>
      <c r="N2" s="8"/>
      <c r="O2" s="8"/>
      <c r="P2" s="8"/>
      <c r="Q2" s="8"/>
    </row>
    <row r="3" spans="1:21" ht="13" thickBot="1">
      <c r="A3" s="8"/>
      <c r="B3" s="32" t="s">
        <v>15</v>
      </c>
      <c r="C3" s="33"/>
      <c r="D3" s="33"/>
      <c r="E3" s="33"/>
      <c r="F3" s="33"/>
      <c r="G3" s="34"/>
      <c r="H3" s="8"/>
      <c r="I3" s="35"/>
      <c r="J3" s="36"/>
      <c r="K3" s="36"/>
      <c r="L3" s="8"/>
      <c r="M3" s="8"/>
      <c r="N3" s="8"/>
      <c r="O3" s="8"/>
      <c r="P3" s="8"/>
      <c r="Q3" s="8"/>
    </row>
    <row r="4" spans="1:21" ht="13" thickBot="1">
      <c r="A4" s="8"/>
      <c r="B4" s="37" t="s">
        <v>378</v>
      </c>
      <c r="C4" s="38"/>
      <c r="D4" s="38"/>
      <c r="E4" s="38"/>
      <c r="F4" s="38"/>
      <c r="G4" s="39"/>
      <c r="H4" s="8"/>
      <c r="I4" s="8"/>
      <c r="J4" s="8"/>
      <c r="K4" s="8"/>
      <c r="L4" s="8"/>
      <c r="M4" s="8"/>
      <c r="N4" s="8"/>
      <c r="O4" s="8"/>
      <c r="P4" s="8"/>
      <c r="Q4" s="8"/>
    </row>
    <row r="5" spans="1:21" ht="13" thickBot="1">
      <c r="A5" s="8"/>
      <c r="B5" s="40" t="s">
        <v>383</v>
      </c>
      <c r="C5" s="41"/>
      <c r="D5" s="41"/>
      <c r="E5" s="42"/>
      <c r="F5" s="42"/>
      <c r="G5" s="43"/>
      <c r="H5" s="8"/>
      <c r="I5" s="8"/>
      <c r="J5" s="8"/>
      <c r="K5" s="8"/>
      <c r="L5" s="8"/>
      <c r="M5" s="8"/>
      <c r="N5" s="8"/>
      <c r="O5" s="8"/>
      <c r="P5" s="8"/>
      <c r="Q5" s="8"/>
    </row>
    <row r="6" spans="1:21" ht="13" thickBot="1">
      <c r="A6" s="8"/>
      <c r="B6" s="44"/>
      <c r="C6" s="8"/>
      <c r="D6" s="8"/>
      <c r="E6" s="229" t="s">
        <v>361</v>
      </c>
      <c r="F6" s="230"/>
      <c r="G6" s="230"/>
      <c r="H6" s="230"/>
      <c r="I6" s="230"/>
      <c r="J6" s="230"/>
      <c r="K6" s="230"/>
      <c r="L6" s="230"/>
      <c r="M6" s="230"/>
      <c r="N6" s="230"/>
      <c r="O6" s="230"/>
      <c r="P6" s="230"/>
      <c r="Q6" s="231"/>
    </row>
    <row r="7" spans="1:21" ht="31" thickBot="1">
      <c r="B7" s="45" t="str">
        <f>B3</f>
        <v>TABLE 1: Only one daughter</v>
      </c>
      <c r="C7" s="8" t="s">
        <v>386</v>
      </c>
      <c r="D7" s="8"/>
      <c r="E7" s="49" t="s">
        <v>338</v>
      </c>
      <c r="F7" s="19" t="s">
        <v>303</v>
      </c>
      <c r="G7" s="19" t="s">
        <v>304</v>
      </c>
      <c r="H7" s="50" t="s">
        <v>362</v>
      </c>
      <c r="I7" s="50" t="s">
        <v>374</v>
      </c>
      <c r="J7" s="19" t="s">
        <v>363</v>
      </c>
      <c r="K7" s="50" t="s">
        <v>348</v>
      </c>
      <c r="L7" s="50" t="s">
        <v>364</v>
      </c>
      <c r="M7" s="19" t="s">
        <v>349</v>
      </c>
      <c r="N7" s="51" t="s">
        <v>350</v>
      </c>
      <c r="O7" s="19" t="s">
        <v>359</v>
      </c>
      <c r="P7" s="50" t="s">
        <v>360</v>
      </c>
      <c r="Q7" s="19" t="s">
        <v>365</v>
      </c>
      <c r="R7" s="8"/>
      <c r="S7" s="8"/>
      <c r="T7" s="8"/>
      <c r="U7" s="8"/>
    </row>
    <row r="8" spans="1:21" ht="13" thickBot="1">
      <c r="B8" s="18" t="s">
        <v>369</v>
      </c>
      <c r="C8" s="162">
        <v>1</v>
      </c>
      <c r="D8" s="20" t="s">
        <v>305</v>
      </c>
      <c r="E8" s="165">
        <f>(A1-F9-G10-H11-I11-J12-K13-L14-M15-N16-O17-P18-Q19)</f>
        <v>75000</v>
      </c>
      <c r="F8" s="166"/>
      <c r="G8" s="166"/>
      <c r="H8" s="172"/>
      <c r="I8" s="172"/>
      <c r="J8" s="166"/>
      <c r="K8" s="173"/>
      <c r="L8" s="172"/>
      <c r="M8" s="166"/>
      <c r="N8" s="174"/>
      <c r="O8" s="166"/>
      <c r="P8" s="172"/>
      <c r="Q8" s="166"/>
      <c r="R8" s="8"/>
      <c r="S8" s="8"/>
      <c r="T8" s="8"/>
      <c r="U8" s="8"/>
    </row>
    <row r="9" spans="1:21" ht="13" thickBot="1">
      <c r="B9" s="18" t="str">
        <f>IF(C10="y","SKIP","Remaining spouse is wife?")</f>
        <v>Remaining spouse is wife?</v>
      </c>
      <c r="C9" s="24" t="s">
        <v>352</v>
      </c>
      <c r="D9" s="48" t="s">
        <v>307</v>
      </c>
      <c r="E9" s="175"/>
      <c r="F9" s="165">
        <f>IF(OR(B9="SKIP",C9="n"),0,(1/8)*A1)</f>
        <v>0</v>
      </c>
      <c r="G9" s="166"/>
      <c r="H9" s="172"/>
      <c r="I9" s="172"/>
      <c r="J9" s="166"/>
      <c r="K9" s="173"/>
      <c r="L9" s="172"/>
      <c r="M9" s="166"/>
      <c r="N9" s="174"/>
      <c r="O9" s="166"/>
      <c r="P9" s="172"/>
      <c r="Q9" s="172"/>
      <c r="R9" s="232" t="str">
        <f>IF(AND(C9="y",C10="y"),"ERROR, YOU HAVE SELECTED WIFE &amp; HUSBAND AS SURVIVING SPOUSE, PICK ONE","")</f>
        <v/>
      </c>
      <c r="S9" s="233"/>
      <c r="T9" s="233"/>
      <c r="U9" s="234"/>
    </row>
    <row r="10" spans="1:21" ht="13" thickBot="1">
      <c r="B10" s="18" t="str">
        <f>IF(C9="y","SKIP","Remaining spouse is husband?")</f>
        <v>Remaining spouse is husband?</v>
      </c>
      <c r="C10" s="12" t="s">
        <v>352</v>
      </c>
      <c r="D10" s="48" t="s">
        <v>307</v>
      </c>
      <c r="E10" s="173"/>
      <c r="F10" s="169"/>
      <c r="G10" s="165">
        <f>IF(OR(B10="SKIP",C10="n"),0,IF(AND(C10="y",C11="y"),(3/13)*A1,IF(AND(C10="y",C13="y",C14="n",C15="n",C16="n",C17="n",C18="n",C19="n"),(1/4)*A1,IF(AND(C10="y",C13="y",OR(C14="y",C15="y",C16="y",C17="y",C18="y",C19="y")),(3/13)*A1,(1/4)*A1))))</f>
        <v>0</v>
      </c>
      <c r="H10" s="172"/>
      <c r="I10" s="172"/>
      <c r="J10" s="166"/>
      <c r="K10" s="173"/>
      <c r="L10" s="172"/>
      <c r="M10" s="166"/>
      <c r="N10" s="174"/>
      <c r="O10" s="166"/>
      <c r="P10" s="172"/>
      <c r="Q10" s="172"/>
      <c r="R10" s="235"/>
      <c r="S10" s="236"/>
      <c r="T10" s="236"/>
      <c r="U10" s="237"/>
    </row>
    <row r="11" spans="1:21" ht="13" thickBot="1">
      <c r="B11" s="18" t="s">
        <v>373</v>
      </c>
      <c r="C11" s="12" t="s">
        <v>352</v>
      </c>
      <c r="D11" s="48" t="s">
        <v>307</v>
      </c>
      <c r="E11" s="169"/>
      <c r="F11" s="169"/>
      <c r="G11" s="169"/>
      <c r="H11" s="176">
        <f>IF(C11="n",0,IF(C9="y",(1/6)*A1,IF(C10="y",(2/13)*A1,(1/6)*A1)))</f>
        <v>0</v>
      </c>
      <c r="I11" s="176">
        <f>IF(C11="n",0,IF(C9="y",(5/24)*A1,IF(C10="y",(2/13)*A1,(1/3)*A1)))</f>
        <v>0</v>
      </c>
      <c r="J11" s="177"/>
      <c r="K11" s="173"/>
      <c r="L11" s="172"/>
      <c r="M11" s="166"/>
      <c r="N11" s="174"/>
      <c r="O11" s="166"/>
      <c r="P11" s="172"/>
      <c r="Q11" s="166"/>
      <c r="R11" s="8"/>
      <c r="S11" s="8"/>
      <c r="T11" s="8"/>
      <c r="U11" s="8"/>
    </row>
    <row r="12" spans="1:21" ht="13" thickBot="1">
      <c r="B12" s="18" t="str">
        <f>IF(OR(C11="y",C14="y"),"SKIP","Is ONLY father alive?")</f>
        <v>SKIP</v>
      </c>
      <c r="C12" s="12" t="s">
        <v>352</v>
      </c>
      <c r="D12" s="48" t="s">
        <v>307</v>
      </c>
      <c r="E12" s="169"/>
      <c r="F12" s="169"/>
      <c r="G12" s="169"/>
      <c r="H12" s="173"/>
      <c r="I12" s="173"/>
      <c r="J12" s="165">
        <f>IF(OR(B12="SKIP",C12="n"),0,IF(AND(C9="y",OR(C14="y",C15="y",C16="y",C17="y",C18="y",C19="y")),(5/24)*A1,IF(C9="y",(3/8)*A1,IF(AND(C10="y",OR(C14="y",C15="y",C16="y",C17="y",C18="y",C19="y")),(2/13)*A1,IF(C10="y",(1/4)*A1,IF(OR(C15="y",C16="y",C17="y",C18="y",C19="y"),(1/3)*A1,(1/2)*A1))))))</f>
        <v>0</v>
      </c>
      <c r="K12" s="173"/>
      <c r="L12" s="172"/>
      <c r="M12" s="166"/>
      <c r="N12" s="174"/>
      <c r="O12" s="166"/>
      <c r="P12" s="172"/>
      <c r="Q12" s="166"/>
      <c r="R12" s="8"/>
      <c r="S12" s="8"/>
      <c r="T12" s="8"/>
      <c r="U12" s="8"/>
    </row>
    <row r="13" spans="1:21" ht="13" thickBot="1">
      <c r="B13" s="18" t="str">
        <f>IF(OR(C11="y",C12="y"),"SKIP","Is the father of father alive?")</f>
        <v>Is the father of father alive?</v>
      </c>
      <c r="C13" s="12" t="s">
        <v>352</v>
      </c>
      <c r="D13" s="48" t="s">
        <v>307</v>
      </c>
      <c r="E13" s="169"/>
      <c r="F13" s="169"/>
      <c r="G13" s="169"/>
      <c r="H13" s="169"/>
      <c r="I13" s="169"/>
      <c r="J13" s="169"/>
      <c r="K13" s="165">
        <f>IF(OR(B13="SKIP",C13="n"),0,IF(AND(C9="y",OR(C14="y",C15="y",C16="y",C17="y",C18="y",C19="y")),(5/24)*A1,IF(C9="y",(3/8)*A1,IF(AND(C10="y",OR(C14="y",C15="y",C16="y",C17="y",C18="y",C19="y")),(2/13)*A1,IF(C10="y",(1/4)*A1,IF(OR(C14="y",C15="y",C16="y",C17="y",C18="y",C19="y"),(1/3)*A1,(1/2)*A1))))))</f>
        <v>0</v>
      </c>
      <c r="L13" s="173"/>
      <c r="M13" s="166"/>
      <c r="N13" s="174"/>
      <c r="O13" s="166"/>
      <c r="P13" s="172"/>
      <c r="Q13" s="166"/>
      <c r="R13" s="8"/>
      <c r="S13" s="8"/>
      <c r="T13" s="8"/>
      <c r="U13" s="8"/>
    </row>
    <row r="14" spans="1:21" ht="13" thickBot="1">
      <c r="B14" s="18" t="str">
        <f>IF(OR(C11="Y",C12="y"),"SKIP","Is ONLY mother alive?")</f>
        <v>Is ONLY mother alive?</v>
      </c>
      <c r="C14" s="12" t="s">
        <v>331</v>
      </c>
      <c r="D14" s="48" t="s">
        <v>307</v>
      </c>
      <c r="E14" s="169"/>
      <c r="F14" s="169"/>
      <c r="G14" s="169"/>
      <c r="H14" s="169"/>
      <c r="I14" s="169"/>
      <c r="J14" s="169"/>
      <c r="K14" s="169"/>
      <c r="L14" s="178">
        <f>IF(OR(B14="SKIP",C14="n"),0,IF(AND(C9="n",C10="n",C13="y"),(1/6)*A1,IF(AND(C9="y",C13="y"),(1/6)*A1,IF(AND(C10="y",C13="y"),(2/13)*A1,IF(C9="y",(7/32)*A1,IF(C10="y",(7/36)*A1,(1/4)*A1))))))</f>
        <v>25000</v>
      </c>
      <c r="M14" s="166"/>
      <c r="N14" s="174"/>
      <c r="O14" s="166"/>
      <c r="P14" s="172"/>
      <c r="Q14" s="166"/>
      <c r="R14" s="8"/>
      <c r="S14" s="8"/>
      <c r="T14" s="8"/>
      <c r="U14" s="8"/>
    </row>
    <row r="15" spans="1:21" ht="13" thickBot="1">
      <c r="B15" s="46" t="str">
        <f>IF(OR(C11="y",C14="y"),"SKIP","Is the mother of father alive?")</f>
        <v>SKIP</v>
      </c>
      <c r="C15" s="11" t="s">
        <v>352</v>
      </c>
      <c r="D15" s="48" t="s">
        <v>307</v>
      </c>
      <c r="E15" s="171"/>
      <c r="F15" s="171"/>
      <c r="G15" s="171"/>
      <c r="H15" s="171"/>
      <c r="I15" s="171"/>
      <c r="J15" s="171"/>
      <c r="K15" s="171"/>
      <c r="L15" s="171"/>
      <c r="M15" s="165">
        <f>IF(AND(C15="y",C16="y"),M21/2,M21)</f>
        <v>0</v>
      </c>
      <c r="N15" s="174"/>
      <c r="O15" s="166"/>
      <c r="P15" s="172"/>
      <c r="Q15" s="166"/>
      <c r="R15" s="8"/>
      <c r="S15" s="8"/>
      <c r="T15" s="8"/>
      <c r="U15" s="8"/>
    </row>
    <row r="16" spans="1:21" ht="13" thickBot="1">
      <c r="B16" s="47" t="str">
        <f>IF(OR(C11="y",C14="y"),"SKIP","Is the mother of mother alive?")</f>
        <v>SKIP</v>
      </c>
      <c r="C16" s="24" t="s">
        <v>352</v>
      </c>
      <c r="D16" s="48" t="s">
        <v>307</v>
      </c>
      <c r="E16" s="179"/>
      <c r="F16" s="179"/>
      <c r="G16" s="179"/>
      <c r="H16" s="179"/>
      <c r="I16" s="179"/>
      <c r="J16" s="179"/>
      <c r="K16" s="179"/>
      <c r="L16" s="179"/>
      <c r="M16" s="179"/>
      <c r="N16" s="165">
        <f>IF(AND(C15="y",C16="y"),N21/2,N21)</f>
        <v>0</v>
      </c>
      <c r="O16" s="166"/>
      <c r="P16" s="172"/>
      <c r="Q16" s="166"/>
      <c r="R16" s="8"/>
      <c r="S16" s="8"/>
      <c r="T16" s="8"/>
      <c r="U16" s="8"/>
    </row>
    <row r="17" spans="2:21" ht="13" thickBot="1">
      <c r="B17" s="18" t="str">
        <f>IF(OR(C11="y",C14="y",C15="y",C16="Y"),"SKIP","Is the mother of mother of father alive?")</f>
        <v>SKIP</v>
      </c>
      <c r="C17" s="12" t="s">
        <v>352</v>
      </c>
      <c r="D17" s="48" t="s">
        <v>307</v>
      </c>
      <c r="E17" s="169"/>
      <c r="F17" s="169"/>
      <c r="G17" s="169"/>
      <c r="H17" s="169"/>
      <c r="I17" s="169"/>
      <c r="J17" s="169"/>
      <c r="K17" s="169"/>
      <c r="L17" s="169"/>
      <c r="M17" s="169"/>
      <c r="N17" s="169"/>
      <c r="O17" s="165">
        <f>IF(AND(C17="y",C18="y",C19="y"),O21/3,IF(AND(C17="y",C18="y"),O21/2,IF(AND(C17="y",C19="y"),O21/2,O21)))</f>
        <v>0</v>
      </c>
      <c r="P17" s="172"/>
      <c r="Q17" s="166"/>
      <c r="R17" s="8"/>
      <c r="S17" s="8"/>
      <c r="T17" s="8"/>
      <c r="U17" s="8"/>
    </row>
    <row r="18" spans="2:21" ht="13" thickBot="1">
      <c r="B18" s="18" t="str">
        <f>IF(OR(C11="y",C14="y",C15="y",C16="Y"),"SKIP","Is the mother of mother of mother alive?")</f>
        <v>SKIP</v>
      </c>
      <c r="C18" s="12" t="s">
        <v>352</v>
      </c>
      <c r="D18" s="48" t="s">
        <v>307</v>
      </c>
      <c r="E18" s="169"/>
      <c r="F18" s="169"/>
      <c r="G18" s="169"/>
      <c r="H18" s="169"/>
      <c r="I18" s="169"/>
      <c r="J18" s="169"/>
      <c r="K18" s="169"/>
      <c r="L18" s="169"/>
      <c r="M18" s="169"/>
      <c r="N18" s="169"/>
      <c r="O18" s="169"/>
      <c r="P18" s="178">
        <f>IF(AND(C17="y",C18="y",C19="y"),P21/3,IF(AND(C17="y",C18="y"),P21/2,IF(AND(C18="y",C19="y"),P21/2,P21)))</f>
        <v>0</v>
      </c>
      <c r="Q18" s="166"/>
      <c r="R18" s="8"/>
      <c r="S18" s="8"/>
      <c r="T18" s="8"/>
      <c r="U18" s="8"/>
    </row>
    <row r="19" spans="2:21" ht="13" thickBot="1">
      <c r="B19" s="46" t="str">
        <f>IF(OR(C11="y",C14="y",C15="y",C16="Y"),"SKIP","Is the mother of father of father alive?")</f>
        <v>SKIP</v>
      </c>
      <c r="C19" s="11" t="s">
        <v>352</v>
      </c>
      <c r="D19" s="48" t="s">
        <v>307</v>
      </c>
      <c r="E19" s="171"/>
      <c r="F19" s="171"/>
      <c r="G19" s="171"/>
      <c r="H19" s="171"/>
      <c r="I19" s="171"/>
      <c r="J19" s="171"/>
      <c r="K19" s="171"/>
      <c r="L19" s="171"/>
      <c r="M19" s="171"/>
      <c r="N19" s="171"/>
      <c r="O19" s="171"/>
      <c r="P19" s="171"/>
      <c r="Q19" s="165">
        <f>IF(AND(C17="y",C18="y",C19="y"),Q21/3,IF(AND(C17="y",C19="y"),Q21/2,IF(AND(C18="y",C19="y"),Q21/2,Q21)))</f>
        <v>0</v>
      </c>
      <c r="R19" s="8"/>
      <c r="S19" s="8"/>
      <c r="T19" s="8"/>
      <c r="U19" s="8"/>
    </row>
    <row r="20" spans="2:21" hidden="1"/>
    <row r="21" spans="2:21" hidden="1">
      <c r="M21" s="25">
        <f>IF(OR(B15="SKIP",C15="n"),0,IF(AND(C10="y",OR(C12="y",C13="y")),(2/13)*A1,IF(C12="y",(1/6)*A1,IF(AND(C9="n",C10="n",C13="y"),(1/6)*A1,IF(AND(C9="y",C13="y"),(1/6)*A1,IF(C9="y",(7/32)*A1,IF(C10="y",(7/36)*A1,(1/4)*A1)))))))</f>
        <v>0</v>
      </c>
      <c r="N21" s="25">
        <f>IF(OR(B16="SKIP",C16="n"),0,IF(AND(C10="y",OR(C12="y",C13="y")),(2/13)*A1,IF(C12="y",(1/6)*A1,IF(AND(C9="n",C10="n",C13="y"),(1/6)*A1,IF(AND(C9="y",C13="y"),(1/6)*A1,IF(C9="y",(7/32)*A1,IF(C10="y",(7/36)*A1,(1/4)*A1)))))))</f>
        <v>0</v>
      </c>
      <c r="O21" s="25">
        <f>IF(OR(B17="SKIP",C17="n"),0,IF(AND(C10="y",OR(C12="y",C13="y")),(2/13)*A1,IF(C12="y",(1/6)*A1,IF(AND(C9="n",C10="n",C13="y"),(1/6)*A1,IF(AND(C9="y",C13="y"),(1/6)*A1,IF(C9="y",(7/32)*A1,IF(C10="y",(7/36)*A1,(1/4)*A1)))))))</f>
        <v>0</v>
      </c>
      <c r="P21" s="25">
        <f>IF(OR(B18="SKIP",C18="n"),0,IF(AND(C10="y",OR(C12="y",C13="y")),(2/13)*A1,IF(C12="y",(1/6)*A1,IF(AND(C9="n",C10="n",C13="y"),(1/6)*A1,IF(AND(C9="y",C13="y"),(1/6)*A1,IF(C9="y",(7/32)*A1,IF(C10="y",(7/36)*A1,(1/4)*A1)))))))</f>
        <v>0</v>
      </c>
      <c r="Q21" s="25">
        <f>IF(OR(B19="SKIP",C19="n"),0,IF(AND(C10="y",OR(C12="y",C13="y")),(2/13)*A1,IF(C12="y",(1/6)*A1,IF(AND(C9="n",C10="n",C13="y"),(1/6)*A1,IF(AND(C9="y",C13="y"),(1/6)*A1,IF(C9="y",(7/32)*A1,IF(C10="y",(7/36)*A1,(1/4)*A1)))))))</f>
        <v>0</v>
      </c>
    </row>
    <row r="22" spans="2:21" ht="13" thickBot="1">
      <c r="M22" s="2"/>
      <c r="N22" s="2"/>
      <c r="O22" s="2"/>
      <c r="P22" s="2"/>
      <c r="Q22" s="2"/>
    </row>
    <row r="23" spans="2:21" ht="13" thickBot="1">
      <c r="E23" s="240" t="s">
        <v>361</v>
      </c>
      <c r="F23" s="241"/>
      <c r="G23" s="241"/>
      <c r="H23" s="241"/>
      <c r="I23" s="241"/>
      <c r="J23" s="241"/>
      <c r="K23" s="241"/>
      <c r="L23" s="241"/>
      <c r="M23" s="241"/>
      <c r="N23" s="241"/>
      <c r="O23" s="242"/>
    </row>
    <row r="24" spans="2:21" ht="41" thickBot="1">
      <c r="B24" s="52" t="str">
        <f>B4</f>
        <v>TABLE 2: Only one daughter, and grandchild/ren</v>
      </c>
      <c r="C24" s="8" t="s">
        <v>386</v>
      </c>
      <c r="D24" s="8"/>
      <c r="E24" s="19" t="s">
        <v>368</v>
      </c>
      <c r="F24" s="19" t="s">
        <v>375</v>
      </c>
      <c r="G24" s="19" t="s">
        <v>338</v>
      </c>
      <c r="H24" s="50" t="s">
        <v>371</v>
      </c>
      <c r="I24" s="50" t="s">
        <v>372</v>
      </c>
      <c r="J24" s="19" t="s">
        <v>362</v>
      </c>
      <c r="K24" s="19" t="s">
        <v>374</v>
      </c>
      <c r="L24" s="19" t="s">
        <v>376</v>
      </c>
      <c r="M24" s="51" t="s">
        <v>377</v>
      </c>
      <c r="N24" s="19" t="s">
        <v>349</v>
      </c>
      <c r="O24" s="19" t="s">
        <v>350</v>
      </c>
      <c r="P24" s="8"/>
      <c r="Q24" s="56"/>
      <c r="R24" s="8"/>
      <c r="S24" s="8"/>
    </row>
    <row r="25" spans="2:21" ht="13" thickBot="1">
      <c r="B25" s="46" t="s">
        <v>366</v>
      </c>
      <c r="C25" s="12">
        <v>1</v>
      </c>
      <c r="D25" s="53" t="s">
        <v>351</v>
      </c>
      <c r="E25" s="180">
        <f>IF(AND(C25&gt;0,C29="y",OR(C30="y",C32="y",C33="y",C34="y")),0,IF(AND(C25&gt;0,C28="y",C31="y",OR(C32="y",C33="y",C34="y")),((1/24)*A1)/(C25+(C26/2))*(C25),IF(AND(C25&gt;0,C28="y",C30="n",OR(C31="y",C32="y",C33="y",C34="y")),((5/24)*A1)/(C25+(C26/2))*(C25),IF(AND(C25&gt;0,C30="y"),((1/24)*A1)/(C25+(C26/2))*(C25),IF(AND(C25&gt;0,C29="y",OR(C31="y",C32="y",C33="y",C34="y")),((1/12)*A1)/(C25+(C26/2))*(C25),(A1-G27-H28-I29)/(C25+(C26/2))*(C25))))))</f>
        <v>2777.7777777777774</v>
      </c>
      <c r="F25" s="166"/>
      <c r="G25" s="166"/>
      <c r="H25" s="172"/>
      <c r="I25" s="172"/>
      <c r="J25" s="166"/>
      <c r="K25" s="179"/>
      <c r="L25" s="166"/>
      <c r="M25" s="174"/>
      <c r="N25" s="166"/>
      <c r="O25" s="166"/>
      <c r="P25" s="58"/>
      <c r="Q25" s="58"/>
      <c r="R25" s="58"/>
      <c r="S25" s="59"/>
    </row>
    <row r="26" spans="2:21" ht="25" thickBot="1">
      <c r="B26" s="46" t="s">
        <v>367</v>
      </c>
      <c r="C26" s="12">
        <v>1</v>
      </c>
      <c r="D26" s="54" t="s">
        <v>351</v>
      </c>
      <c r="E26" s="175"/>
      <c r="F26" s="180">
        <f>IF(AND(C26&gt;0,C29="y",OR(C30="y",C32="y",C33="y",C34="y")),0,IF(AND(C26&gt;0,C28="y",C31="y",OR(C32="y",C33="y",C34="y")),((1/24)*A1)/(C25+(C26/2))*(C26/2),IF(AND(C25&gt;0,C28="y",C30="n",OR(C31="y",C32="y",C33="y",C34="y")),((5/24)*A1)/(C25+(C26/2))*(C26/2),IF(AND(C25=0,C26&gt;0),(1/4)*A1,IF(AND(C26&gt;0,C30="y"),((1/24)*A1)/(C25+(C26/2))*(C26/2),IF(AND(C25&gt;0,C29="y",OR(C31="y",C32="y",C33="y",C34="y")),((1/12)*A1)/(C25+(C26/2))*(C26/2),(A1-G27-H28-I29)/(C25+(C26/2))*(C26/2)))))))</f>
        <v>1388.8888888888887</v>
      </c>
      <c r="G26" s="177"/>
      <c r="H26" s="172"/>
      <c r="I26" s="172"/>
      <c r="J26" s="166"/>
      <c r="K26" s="179"/>
      <c r="L26" s="166"/>
      <c r="M26" s="174"/>
      <c r="N26" s="166"/>
      <c r="O26" s="166"/>
      <c r="P26" s="239" t="str">
        <f>IF(SUM(E25:O34)=A1,"","Please either enter a Y for either spouse, or remove Y entries for parent or father of father, otherwise this table is invalid, as ISNA Schedule A doesnot provide calculations for your unique case")</f>
        <v/>
      </c>
      <c r="Q26" s="239"/>
      <c r="R26" s="239"/>
      <c r="S26" s="60"/>
    </row>
    <row r="27" spans="2:21" ht="13" thickBot="1">
      <c r="B27" s="16" t="s">
        <v>369</v>
      </c>
      <c r="C27" s="162">
        <v>1</v>
      </c>
      <c r="D27" s="55" t="s">
        <v>305</v>
      </c>
      <c r="E27" s="171"/>
      <c r="F27" s="181"/>
      <c r="G27" s="165">
        <f>IF(AND(C28="y",C31="y",OR(C32="y",C33="y",C34="y")),(1/2)*A1,IF(OR(C32="y",C33="y",C34="y",AND(C29="y",C30="y")),(6/13)*A1,IF(AND(C29="y",C31="y",OR(C33="y",C34="y")),(1/2)*A1,IF(AND(C29="y",C31="y",C33="y"),(6/13)*A1,IF(AND(C31="y",C32="y"),(6/13)*A1,IF(AND(C25=0,C26&gt;0),A1-F26,IF(C25&gt;0,(1/2)*A1)))))))</f>
        <v>50000</v>
      </c>
      <c r="H27" s="172"/>
      <c r="I27" s="172"/>
      <c r="J27" s="166"/>
      <c r="K27" s="179"/>
      <c r="L27" s="166"/>
      <c r="M27" s="174"/>
      <c r="N27" s="166"/>
      <c r="O27" s="166"/>
      <c r="P27" s="239"/>
      <c r="Q27" s="239"/>
      <c r="R27" s="239"/>
      <c r="S27" s="60"/>
    </row>
    <row r="28" spans="2:21" ht="13" thickBot="1">
      <c r="B28" s="17" t="str">
        <f>IF(C29="y","SKIP","Remaining spouse is wife?")</f>
        <v>Remaining spouse is wife?</v>
      </c>
      <c r="C28" s="12" t="s">
        <v>331</v>
      </c>
      <c r="D28" s="53" t="s">
        <v>307</v>
      </c>
      <c r="E28" s="182"/>
      <c r="F28" s="169"/>
      <c r="G28" s="169"/>
      <c r="H28" s="178">
        <f>IF(C28="n",0,IF(C28="y",(1/8)*A1))</f>
        <v>12500</v>
      </c>
      <c r="I28" s="172"/>
      <c r="J28" s="166"/>
      <c r="K28" s="179"/>
      <c r="L28" s="166"/>
      <c r="M28" s="174"/>
      <c r="N28" s="166"/>
      <c r="O28" s="166"/>
      <c r="P28" s="239"/>
      <c r="Q28" s="239"/>
      <c r="R28" s="239"/>
      <c r="S28" s="60"/>
    </row>
    <row r="29" spans="2:21" ht="13.5" customHeight="1" thickBot="1">
      <c r="B29" s="17" t="str">
        <f>IF(C28="y","SKIP","Remaining spouse is husband?")</f>
        <v>SKIP</v>
      </c>
      <c r="C29" s="12" t="s">
        <v>352</v>
      </c>
      <c r="D29" s="53" t="s">
        <v>307</v>
      </c>
      <c r="E29" s="182"/>
      <c r="F29" s="169"/>
      <c r="G29" s="169"/>
      <c r="H29" s="169"/>
      <c r="I29" s="165">
        <f>IF(OR(B29="SKIP",C29="n"),0,IF(OR(C32="y",C33="y",C34="y",AND(C30="y",C29="y")),(3/13)*A1,IF(AND(C29="y",C32="y"),(1/4)*A1,IF(AND(C31="y",C33="y"),(3/13)*A1,IF(AND(C31="y",C34="y"),(3/13)*A1,IF(C29="y",(1/4)*A1))))))</f>
        <v>0</v>
      </c>
      <c r="J29" s="177"/>
      <c r="K29" s="179"/>
      <c r="L29" s="166"/>
      <c r="M29" s="174"/>
      <c r="N29" s="166"/>
      <c r="O29" s="166"/>
      <c r="P29" s="239" t="str">
        <f>IF(COUNTIF(E25:O34,FALSE)&gt;0,"Please enter a Y for either spouse, without which the ISNA schedule doesnot provide calculations for output cell(s) with text: FALSE, and therefore this table cannot be used for your unique case if the table contains FALSE values in one or more cells","")</f>
        <v/>
      </c>
      <c r="Q29" s="239"/>
      <c r="R29" s="239"/>
      <c r="S29" s="60"/>
    </row>
    <row r="30" spans="2:21" ht="13.5" customHeight="1" thickBot="1">
      <c r="B30" s="17" t="s">
        <v>373</v>
      </c>
      <c r="C30" s="12" t="s">
        <v>331</v>
      </c>
      <c r="D30" s="53" t="s">
        <v>307</v>
      </c>
      <c r="E30" s="169"/>
      <c r="F30" s="169"/>
      <c r="G30" s="169"/>
      <c r="H30" s="169"/>
      <c r="I30" s="169"/>
      <c r="J30" s="165">
        <f>IF(C30="n",0,IF(AND(C28="y",C30="y"),(1/6)*A1,IF(AND(C29="y",C30="y"),(2/13)*A1)))</f>
        <v>16666.666666666664</v>
      </c>
      <c r="K30" s="178">
        <f>IF(C30="n",0,IF(AND(C28="y",C30="y"),(1/6)*A1,IF(AND(C29="y",C30="y"),(2/13)*A1)))</f>
        <v>16666.666666666664</v>
      </c>
      <c r="L30" s="166"/>
      <c r="M30" s="174"/>
      <c r="N30" s="166"/>
      <c r="O30" s="166"/>
      <c r="P30" s="239"/>
      <c r="Q30" s="239"/>
      <c r="R30" s="239"/>
      <c r="S30" s="60"/>
    </row>
    <row r="31" spans="2:21" ht="26.25" customHeight="1" thickBot="1">
      <c r="B31" s="46" t="str">
        <f>IF(C30="y","SKIP","Only one parent is alive? (either mother or Father)")</f>
        <v>SKIP</v>
      </c>
      <c r="C31" s="11" t="s">
        <v>352</v>
      </c>
      <c r="D31" s="53" t="s">
        <v>307</v>
      </c>
      <c r="E31" s="183"/>
      <c r="F31" s="171"/>
      <c r="G31" s="171"/>
      <c r="H31" s="171"/>
      <c r="I31" s="171"/>
      <c r="J31" s="171"/>
      <c r="K31" s="171"/>
      <c r="L31" s="165">
        <f>IF(OR(C31="n",B31="SKIP"),0,IF(AND(C28="y",C31="y"),(1/6)*A1,IF(AND(C29="y",C31="y",C32="n",C33="n",C34="n"),(1/6)*A1,IF(OR(C32="y",C33="y",C34="y",AND(C29="y",C31="y")),(2/13)*A1,IF(AND(C29="y",C31="y",C33="y"),(2/13)*A1,IF(AND(C31="y",C33="y"),(2/13)*A1,IF(AND(C31="y",C34="y"),(2/13)*A1)))))))</f>
        <v>0</v>
      </c>
      <c r="M31" s="174"/>
      <c r="N31" s="166"/>
      <c r="O31" s="166"/>
      <c r="P31" s="239"/>
      <c r="Q31" s="239"/>
      <c r="R31" s="239"/>
      <c r="S31" s="60"/>
    </row>
    <row r="32" spans="2:21" ht="13" thickBot="1">
      <c r="B32" s="3" t="str">
        <f>IF(C30="y","SKIP","Is father of father alive? (no father)")</f>
        <v>SKIP</v>
      </c>
      <c r="C32" s="24" t="s">
        <v>352</v>
      </c>
      <c r="D32" s="53" t="s">
        <v>307</v>
      </c>
      <c r="E32" s="179"/>
      <c r="F32" s="179"/>
      <c r="G32" s="179"/>
      <c r="H32" s="179"/>
      <c r="I32" s="179"/>
      <c r="J32" s="179"/>
      <c r="K32" s="179"/>
      <c r="L32" s="179"/>
      <c r="M32" s="165">
        <f>IF(OR(B32="SKIP",C32="n"),0,IF(AND(C28="y",C31="y",C32="y"),(1/6)*A1,IF(AND(C28="y",C32="y"),(1/6)*A1,IF(AND(C29="y",C32="y"),(2/13)*A1, (2/13)*A1))))</f>
        <v>0</v>
      </c>
      <c r="N32" s="166"/>
      <c r="O32" s="166"/>
      <c r="P32" s="239"/>
      <c r="Q32" s="239"/>
      <c r="R32" s="239"/>
      <c r="S32" s="60"/>
    </row>
    <row r="33" spans="1:19" ht="13" thickBot="1">
      <c r="A33" s="27"/>
      <c r="B33" s="17" t="str">
        <f>IF(C30="y","SKIP",IF(AND(C31="y",C32="y"),"SKIP","Is the mother of father alive?"))</f>
        <v>SKIP</v>
      </c>
      <c r="C33" s="12" t="s">
        <v>352</v>
      </c>
      <c r="D33" s="53" t="s">
        <v>307</v>
      </c>
      <c r="E33" s="169"/>
      <c r="F33" s="169"/>
      <c r="G33" s="169"/>
      <c r="H33" s="169"/>
      <c r="I33" s="169"/>
      <c r="J33" s="169"/>
      <c r="K33" s="169"/>
      <c r="L33" s="169"/>
      <c r="M33" s="169"/>
      <c r="N33" s="165">
        <f>IF(OR(B33="SKIP",C33="n"),0,IF(AND(C28="y",C33="y",C34="y"),((1/6)*A1)/2,IF(AND(C28="y",C33="y"),(1/6)*A1,IF(AND(C29="y",C34="y"),((2/13)*A1)/2,IF(AND(C29="y",C33="y"),(2/13)*A1)))))</f>
        <v>0</v>
      </c>
      <c r="O33" s="177"/>
      <c r="P33" s="239"/>
      <c r="Q33" s="239"/>
      <c r="R33" s="239"/>
      <c r="S33" s="60"/>
    </row>
    <row r="34" spans="1:19" ht="13" thickBot="1">
      <c r="B34" s="16" t="str">
        <f>IF(C30="y","SKIP",IF(AND(C31="y",C32="y"),"SKIP","Is the mother of mother alive?"))</f>
        <v>SKIP</v>
      </c>
      <c r="C34" s="11" t="s">
        <v>352</v>
      </c>
      <c r="D34" s="55" t="s">
        <v>307</v>
      </c>
      <c r="E34" s="171"/>
      <c r="F34" s="171"/>
      <c r="G34" s="171"/>
      <c r="H34" s="171"/>
      <c r="I34" s="171"/>
      <c r="J34" s="171"/>
      <c r="K34" s="171"/>
      <c r="L34" s="171"/>
      <c r="M34" s="171"/>
      <c r="N34" s="181"/>
      <c r="O34" s="165">
        <f>IF(OR(B34="SKIP",C34="n"),0,IF(AND(C28="y",C33="y",C34="y"),((1/6)*A1)/2,IF(AND(C28="y",C34="y"),(1/6)*A1,IF(AND(C29="y",C33="y"),((2/13)*A1)/2,IF(AND(C29="y",C34="y"),(2/13)*A1)))))</f>
        <v>0</v>
      </c>
      <c r="P34" s="61"/>
      <c r="Q34" s="61"/>
      <c r="R34" s="61"/>
      <c r="S34" s="62"/>
    </row>
    <row r="35" spans="1:19" ht="13" thickBot="1">
      <c r="B35" s="5"/>
      <c r="C35" s="83"/>
      <c r="D35" s="57"/>
      <c r="E35" s="5"/>
      <c r="F35" s="5"/>
      <c r="G35" s="5"/>
      <c r="H35" s="5"/>
      <c r="I35" s="5"/>
      <c r="J35" s="5"/>
      <c r="K35" s="5"/>
      <c r="L35" s="5"/>
      <c r="M35" s="5"/>
      <c r="N35" s="5"/>
      <c r="O35" s="57"/>
      <c r="P35" s="5"/>
      <c r="Q35" s="5"/>
      <c r="R35" s="5"/>
      <c r="S35" s="5"/>
    </row>
    <row r="36" spans="1:19" ht="13" thickBot="1">
      <c r="E36" s="240" t="s">
        <v>361</v>
      </c>
      <c r="F36" s="241"/>
      <c r="G36" s="241"/>
      <c r="H36" s="241"/>
      <c r="I36" s="241"/>
      <c r="J36" s="242"/>
    </row>
    <row r="37" spans="1:19" ht="37" thickBot="1">
      <c r="B37" s="63" t="str">
        <f>B5</f>
        <v>TABLE 3: Only one daughter, and sister(s)/brother(s) OR Uncle(s) - NO Parents</v>
      </c>
      <c r="C37" s="8" t="s">
        <v>386</v>
      </c>
      <c r="D37" s="8"/>
      <c r="E37" s="19" t="s">
        <v>381</v>
      </c>
      <c r="F37" s="19" t="s">
        <v>382</v>
      </c>
      <c r="G37" s="19" t="s">
        <v>338</v>
      </c>
      <c r="H37" s="50" t="s">
        <v>371</v>
      </c>
      <c r="I37" s="50" t="s">
        <v>372</v>
      </c>
      <c r="J37" s="19" t="s">
        <v>384</v>
      </c>
      <c r="L37" s="238"/>
      <c r="M37" s="238"/>
      <c r="N37" s="238"/>
      <c r="O37" s="238"/>
      <c r="P37" s="238"/>
    </row>
    <row r="38" spans="1:19" ht="13" thickBot="1">
      <c r="A38" s="28"/>
      <c r="B38" s="46" t="s">
        <v>379</v>
      </c>
      <c r="C38" s="12">
        <v>1</v>
      </c>
      <c r="D38" s="53" t="s">
        <v>351</v>
      </c>
      <c r="E38" s="180">
        <f>IF(AND(C38&gt;0,C41="n",C42="n"),((1/2)*A1)/(C38+(C39/2))*(C38),IF(AND(C38&gt;0,C41="y"),((3/8)*A1)/(C38+(C39/2))*(C38),IF(AND(C38&gt;0,C42="y"),((1/4)*A1)/(C38+(C39/2))*(C38),0)))</f>
        <v>25000</v>
      </c>
      <c r="F38" s="166"/>
      <c r="G38" s="166"/>
      <c r="H38" s="172"/>
      <c r="I38" s="172"/>
      <c r="J38" s="166"/>
      <c r="L38" s="238"/>
      <c r="M38" s="238"/>
      <c r="N38" s="238"/>
      <c r="O38" s="238"/>
      <c r="P38" s="238"/>
    </row>
    <row r="39" spans="1:19" ht="13" thickBot="1">
      <c r="A39" s="28"/>
      <c r="B39" s="46" t="s">
        <v>380</v>
      </c>
      <c r="C39" s="12">
        <v>1</v>
      </c>
      <c r="D39" s="54" t="s">
        <v>351</v>
      </c>
      <c r="E39" s="175"/>
      <c r="F39" s="180">
        <f>IF(AND(C39&gt;0,C41="n",C42="n"),((1/2)*A1)/(C38+(C39/2))*(C39/2),IF(AND(C39&gt;0,C41="y"),((3/8)*A1)/(C38+(C39/2))*(C39/2),IF(AND(C39&gt;0,C42="y"),((1/4)*A1)/(C38+(C39/2))*(C39/2),0)))</f>
        <v>12500</v>
      </c>
      <c r="G39" s="177"/>
      <c r="H39" s="172"/>
      <c r="I39" s="172"/>
      <c r="J39" s="166"/>
      <c r="L39" s="238"/>
      <c r="M39" s="238"/>
      <c r="N39" s="238"/>
      <c r="O39" s="238"/>
      <c r="P39" s="238"/>
    </row>
    <row r="40" spans="1:19" ht="17.25" customHeight="1" thickBot="1">
      <c r="A40" s="28"/>
      <c r="B40" s="16" t="s">
        <v>369</v>
      </c>
      <c r="C40" s="162">
        <v>1</v>
      </c>
      <c r="D40" s="55" t="s">
        <v>311</v>
      </c>
      <c r="E40" s="171"/>
      <c r="F40" s="181"/>
      <c r="G40" s="165">
        <f>IF(OR(E38&gt;0,F39&gt;0),(1/2)*A1,IF(C43="y",(1/2)*A1,A1))</f>
        <v>50000</v>
      </c>
      <c r="H40" s="172"/>
      <c r="I40" s="172"/>
      <c r="J40" s="166"/>
      <c r="L40" s="238"/>
      <c r="M40" s="238"/>
      <c r="N40" s="238"/>
      <c r="O40" s="238"/>
      <c r="P40" s="238"/>
    </row>
    <row r="41" spans="1:19" ht="13" thickBot="1">
      <c r="B41" s="17" t="s">
        <v>370</v>
      </c>
      <c r="C41" s="12" t="s">
        <v>331</v>
      </c>
      <c r="D41" s="53" t="s">
        <v>307</v>
      </c>
      <c r="E41" s="169"/>
      <c r="F41" s="169"/>
      <c r="G41" s="169"/>
      <c r="H41" s="178">
        <f>IF(C41="y",(1/8)*A1,0)</f>
        <v>12500</v>
      </c>
      <c r="I41" s="172"/>
      <c r="J41" s="166"/>
      <c r="L41" s="238"/>
      <c r="M41" s="238"/>
      <c r="N41" s="238"/>
      <c r="O41" s="238"/>
      <c r="P41" s="238"/>
    </row>
    <row r="42" spans="1:19" ht="13" thickBot="1">
      <c r="B42" s="17" t="str">
        <f>IF(C41="y","SKIP","Remaining spouse is husband?")</f>
        <v>SKIP</v>
      </c>
      <c r="C42" s="12" t="s">
        <v>352</v>
      </c>
      <c r="D42" s="53" t="s">
        <v>307</v>
      </c>
      <c r="E42" s="169"/>
      <c r="F42" s="169"/>
      <c r="G42" s="169"/>
      <c r="H42" s="169"/>
      <c r="I42" s="165">
        <f>IF(OR(C42="n",B42="SKIP"),0,IF(C42="y",(1/4)*A1))</f>
        <v>0</v>
      </c>
      <c r="J42" s="177"/>
    </row>
    <row r="43" spans="1:19" s="29" customFormat="1" ht="39.75" customHeight="1" thickBot="1">
      <c r="B43" s="46" t="s">
        <v>385</v>
      </c>
      <c r="C43" s="30"/>
      <c r="D43" s="55" t="s">
        <v>307</v>
      </c>
      <c r="E43" s="184"/>
      <c r="F43" s="184"/>
      <c r="G43" s="184"/>
      <c r="H43" s="184"/>
      <c r="I43" s="175"/>
      <c r="J43" s="180">
        <f>IF(C43="n",0,IF(OR(E38&gt;0,F39&gt;0,H41&gt;0,I42&gt;0),0,A1-G40))</f>
        <v>0</v>
      </c>
    </row>
  </sheetData>
  <sheetProtection password="C4AE" sheet="1" objects="1" scenarios="1"/>
  <mergeCells count="7">
    <mergeCell ref="R9:U10"/>
    <mergeCell ref="E6:Q6"/>
    <mergeCell ref="L37:P41"/>
    <mergeCell ref="P29:R33"/>
    <mergeCell ref="P26:R28"/>
    <mergeCell ref="E23:O23"/>
    <mergeCell ref="E36:J36"/>
  </mergeCells>
  <phoneticPr fontId="5" type="noConversion"/>
  <conditionalFormatting sqref="C38:C39">
    <cfRule type="cellIs" priority="1" stopIfTrue="1" operator="greaterThan">
      <formula>0</formula>
    </cfRule>
  </conditionalFormatting>
  <conditionalFormatting sqref="E7:E22">
    <cfRule type="cellIs" dxfId="5" priority="2" stopIfTrue="1" operator="equal">
      <formula>"ERROR, # MUST EQUAL 1"</formula>
    </cfRule>
  </conditionalFormatting>
  <conditionalFormatting sqref="P26:R28">
    <cfRule type="cellIs" dxfId="4" priority="3" stopIfTrue="1" operator="equal">
      <formula>"Please either enter a Y for either spouse, or remove Y entries for parent or father of father, otherwise this table is invalid, as ISNA Schedule A doesnot provide calculations for your unique case"</formula>
    </cfRule>
  </conditionalFormatting>
  <conditionalFormatting sqref="P29:R33">
    <cfRule type="cellIs" dxfId="3" priority="4" stopIfTrue="1" operator="equal">
      <formula>"Please enter a Y for either spouse, without which the ISNA schedule doesnot provide calculations for output cell(s) with text: FALSE, and therefore this table cannot be used for your unique case if the table contains FALSE values in one or more cells"</formula>
    </cfRule>
  </conditionalFormatting>
  <pageMargins left="0.75" right="0.75" top="1" bottom="1" header="0.5" footer="0.5"/>
  <pageSetup scale="59" orientation="landscape"/>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7"/>
    <pageSetUpPr fitToPage="1"/>
  </sheetPr>
  <dimension ref="A1:S55"/>
  <sheetViews>
    <sheetView showRowColHeaders="0" topLeftCell="A2" zoomScale="125" zoomScaleNormal="125" zoomScalePageLayoutView="125" workbookViewId="0">
      <selection activeCell="B7" sqref="B7"/>
    </sheetView>
  </sheetViews>
  <sheetFormatPr baseColWidth="10" defaultColWidth="9.1640625" defaultRowHeight="12" x14ac:dyDescent="0"/>
  <cols>
    <col min="1" max="1" width="1.5" style="1" customWidth="1"/>
    <col min="2" max="2" width="36.5" style="1" customWidth="1"/>
    <col min="3" max="3" width="5" style="1" customWidth="1"/>
    <col min="4" max="4" width="11.33203125" style="1" customWidth="1"/>
    <col min="5" max="5" width="9.6640625" style="1" customWidth="1"/>
    <col min="6" max="6" width="9.5" style="1" customWidth="1"/>
    <col min="7" max="7" width="9.1640625" style="1"/>
    <col min="8" max="9" width="9.33203125" style="1" bestFit="1" customWidth="1"/>
    <col min="10" max="10" width="9.1640625" style="1"/>
    <col min="11" max="11" width="8.5" style="1" customWidth="1"/>
    <col min="12" max="14" width="9.33203125" style="1" bestFit="1" customWidth="1"/>
    <col min="15" max="16384" width="9.1640625" style="1"/>
  </cols>
  <sheetData>
    <row r="1" spans="1:19" ht="13" thickBot="1">
      <c r="A1" s="8">
        <f>Inputs!G23</f>
        <v>100000</v>
      </c>
    </row>
    <row r="2" spans="1:19" ht="13" thickBot="1">
      <c r="B2" s="31" t="s">
        <v>235</v>
      </c>
      <c r="C2" s="8"/>
      <c r="D2" s="8"/>
      <c r="E2" s="8"/>
      <c r="F2" s="8"/>
      <c r="G2" s="8"/>
      <c r="H2" s="8"/>
      <c r="I2" s="8"/>
      <c r="J2" s="8"/>
      <c r="K2" s="8"/>
      <c r="L2" s="8"/>
      <c r="M2" s="8"/>
      <c r="N2" s="8"/>
      <c r="O2" s="8"/>
      <c r="P2" s="8"/>
      <c r="Q2" s="8"/>
    </row>
    <row r="3" spans="1:19" ht="13" thickBot="1">
      <c r="A3" s="8"/>
      <c r="B3" s="67" t="s">
        <v>16</v>
      </c>
      <c r="C3" s="71"/>
      <c r="D3" s="71"/>
      <c r="E3" s="71"/>
      <c r="F3" s="71"/>
      <c r="G3" s="72"/>
      <c r="H3" s="8"/>
      <c r="I3" s="35"/>
      <c r="J3" s="36"/>
      <c r="K3" s="36"/>
      <c r="L3" s="8"/>
      <c r="M3" s="8"/>
      <c r="N3" s="8"/>
      <c r="O3" s="8"/>
      <c r="P3" s="8"/>
      <c r="Q3" s="8"/>
    </row>
    <row r="4" spans="1:19" ht="13" thickBot="1">
      <c r="A4" s="8"/>
      <c r="B4" s="68" t="s">
        <v>300</v>
      </c>
      <c r="C4" s="73"/>
      <c r="D4" s="73"/>
      <c r="E4" s="73"/>
      <c r="F4" s="73"/>
      <c r="G4" s="74"/>
      <c r="H4" s="8"/>
      <c r="I4" s="243"/>
      <c r="J4" s="243"/>
      <c r="K4" s="243"/>
      <c r="L4" s="243"/>
      <c r="M4" s="243"/>
      <c r="N4" s="243"/>
      <c r="O4" s="243"/>
      <c r="P4" s="243"/>
      <c r="Q4" s="8"/>
    </row>
    <row r="5" spans="1:19" ht="13" thickBot="1">
      <c r="A5" s="8"/>
      <c r="B5" s="69" t="s">
        <v>301</v>
      </c>
      <c r="C5" s="75"/>
      <c r="D5" s="75"/>
      <c r="E5" s="76"/>
      <c r="F5" s="76"/>
      <c r="G5" s="77"/>
      <c r="H5" s="8"/>
      <c r="I5" s="243"/>
      <c r="J5" s="243"/>
      <c r="K5" s="243"/>
      <c r="L5" s="243"/>
      <c r="M5" s="243"/>
      <c r="N5" s="243"/>
      <c r="O5" s="243"/>
      <c r="P5" s="243"/>
      <c r="Q5" s="8"/>
    </row>
    <row r="6" spans="1:19" ht="13" thickBot="1">
      <c r="A6" s="8"/>
      <c r="B6" s="44"/>
      <c r="C6" s="8"/>
      <c r="D6" s="8"/>
      <c r="E6" s="229" t="s">
        <v>361</v>
      </c>
      <c r="F6" s="230"/>
      <c r="G6" s="230"/>
      <c r="H6" s="230"/>
      <c r="I6" s="230"/>
      <c r="J6" s="230"/>
      <c r="K6" s="230"/>
      <c r="L6" s="230"/>
      <c r="M6" s="230"/>
      <c r="N6" s="230"/>
      <c r="O6" s="230"/>
      <c r="P6" s="230"/>
      <c r="Q6" s="231"/>
    </row>
    <row r="7" spans="1:19" ht="31" thickBot="1">
      <c r="A7" s="8"/>
      <c r="B7" s="70" t="str">
        <f>B3</f>
        <v>TABLE 1: &gt; 1 daughter</v>
      </c>
      <c r="C7" s="8" t="s">
        <v>386</v>
      </c>
      <c r="D7" s="8"/>
      <c r="E7" s="49" t="s">
        <v>338</v>
      </c>
      <c r="F7" s="19" t="s">
        <v>303</v>
      </c>
      <c r="G7" s="19" t="s">
        <v>304</v>
      </c>
      <c r="H7" s="50" t="s">
        <v>362</v>
      </c>
      <c r="I7" s="50" t="s">
        <v>374</v>
      </c>
      <c r="J7" s="19" t="s">
        <v>363</v>
      </c>
      <c r="K7" s="50" t="s">
        <v>348</v>
      </c>
      <c r="L7" s="50" t="s">
        <v>364</v>
      </c>
      <c r="M7" s="19" t="s">
        <v>349</v>
      </c>
      <c r="N7" s="51" t="s">
        <v>350</v>
      </c>
      <c r="O7" s="19" t="s">
        <v>359</v>
      </c>
      <c r="P7" s="50" t="s">
        <v>360</v>
      </c>
      <c r="Q7" s="19" t="s">
        <v>365</v>
      </c>
    </row>
    <row r="8" spans="1:19" ht="13" thickBot="1">
      <c r="A8" s="8"/>
      <c r="B8" s="16" t="s">
        <v>299</v>
      </c>
      <c r="C8" s="12">
        <v>2</v>
      </c>
      <c r="D8" s="20" t="s">
        <v>306</v>
      </c>
      <c r="E8" s="165">
        <f>(A1-F9-G10-H11-I11-J12-K13-L14-M15-N16-O17-P18-Q19)</f>
        <v>59259.259259259255</v>
      </c>
      <c r="F8" s="166"/>
      <c r="G8" s="166"/>
      <c r="H8" s="172"/>
      <c r="I8" s="172"/>
      <c r="J8" s="166"/>
      <c r="K8" s="173"/>
      <c r="L8" s="172"/>
      <c r="M8" s="166"/>
      <c r="N8" s="174"/>
      <c r="O8" s="166"/>
      <c r="P8" s="172"/>
      <c r="Q8" s="166"/>
    </row>
    <row r="9" spans="1:19" ht="13" thickBot="1">
      <c r="A9" s="8"/>
      <c r="B9" s="17" t="str">
        <f>IF(C10="y","SKIP","Remaining spouse is wife?")</f>
        <v>Remaining spouse is wife?</v>
      </c>
      <c r="C9" s="12" t="s">
        <v>331</v>
      </c>
      <c r="D9" s="48" t="s">
        <v>307</v>
      </c>
      <c r="E9" s="175"/>
      <c r="F9" s="165">
        <f>IF(OR(B9="SKIP",C9="n"),0,IF(AND(C12="n",OR(C11="y",C14="y",C15="y",C16="y",C17="y",C18="y",C19="y")),(3/27)*A1,IF(AND(C13="y",OR(C11="y",C14="y",C15="y",C16="y",C17="y",C18="y",C19="y")),(3/27)*A1,IF(AND(C13="y",C14="y"),(3/27)*A1,(1/8)*A1))))</f>
        <v>11111.111111111111</v>
      </c>
      <c r="G9" s="166"/>
      <c r="H9" s="172"/>
      <c r="I9" s="172"/>
      <c r="J9" s="166"/>
      <c r="K9" s="173"/>
      <c r="L9" s="172"/>
      <c r="M9" s="166"/>
      <c r="N9" s="174"/>
      <c r="O9" s="166"/>
      <c r="P9" s="172"/>
      <c r="Q9" s="166"/>
    </row>
    <row r="10" spans="1:19" ht="13" thickBot="1">
      <c r="A10" s="8"/>
      <c r="B10" s="17" t="str">
        <f>IF(C9="y","SKIP","Remaining spouse is husband?")</f>
        <v>SKIP</v>
      </c>
      <c r="C10" s="12" t="s">
        <v>352</v>
      </c>
      <c r="D10" s="48" t="s">
        <v>307</v>
      </c>
      <c r="E10" s="173"/>
      <c r="F10" s="169"/>
      <c r="G10" s="165">
        <f>IF(OR(B10="SKIP",C10="n"),0,IF(AND(C10="y",C11="y"),(3/15)*A1,IF(AND(C10="y",C12="y",OR(C14="y",C15="y",C16="y",C17="y",C18="y",C19="y")),(3/15)*A1,IF(AND(C10="y",C13="y",OR(C14="y",C15="y",C16="y",C17="y",C18="y",C19="y")),(3/15)*A1,IF(AND(C10="y",OR(C12="y",C13="y")),(3/13)*A1,IF(AND(C10="y",OR(C14="y",C15="y",C16="y",C17="y",C18="y",C19="y")),(3/13)*A1,(1/4)*A1))))))</f>
        <v>0</v>
      </c>
      <c r="H10" s="172"/>
      <c r="I10" s="172"/>
      <c r="J10" s="166"/>
      <c r="K10" s="173"/>
      <c r="L10" s="172"/>
      <c r="M10" s="166"/>
      <c r="N10" s="174"/>
      <c r="O10" s="166"/>
      <c r="P10" s="172"/>
      <c r="Q10" s="172"/>
      <c r="R10" s="232" t="str">
        <f>IF(C8&lt;2,"ERROR, # MUST BE &gt; 1","")</f>
        <v/>
      </c>
      <c r="S10" s="234"/>
    </row>
    <row r="11" spans="1:19" ht="13" thickBot="1">
      <c r="A11" s="8"/>
      <c r="B11" s="17" t="s">
        <v>373</v>
      </c>
      <c r="C11" s="12" t="s">
        <v>331</v>
      </c>
      <c r="D11" s="48" t="s">
        <v>307</v>
      </c>
      <c r="E11" s="169"/>
      <c r="F11" s="169"/>
      <c r="G11" s="169"/>
      <c r="H11" s="176">
        <f>IF(C11="n",0,IF(C9="y",(4/27)*A1,IF(C10="y",(2/15)*A1,(1/6)*A1)))</f>
        <v>14814.814814814814</v>
      </c>
      <c r="I11" s="176">
        <f>IF(C11="n",0,IF(C9="y",(4/27)*A1,IF(C10="y",(2/15)*A1,(1/6)*A1)))</f>
        <v>14814.814814814814</v>
      </c>
      <c r="J11" s="177"/>
      <c r="K11" s="173"/>
      <c r="L11" s="172"/>
      <c r="M11" s="166"/>
      <c r="N11" s="174"/>
      <c r="O11" s="166"/>
      <c r="P11" s="172"/>
      <c r="Q11" s="172"/>
      <c r="R11" s="235"/>
      <c r="S11" s="237"/>
    </row>
    <row r="12" spans="1:19" ht="13" thickBot="1">
      <c r="A12" s="8"/>
      <c r="B12" s="17" t="str">
        <f>IF(OR(C11="y",C13="y"),"SKIP","Is ONLY father alive?")</f>
        <v>SKIP</v>
      </c>
      <c r="C12" s="12" t="s">
        <v>352</v>
      </c>
      <c r="D12" s="48" t="s">
        <v>307</v>
      </c>
      <c r="E12" s="169"/>
      <c r="F12" s="169"/>
      <c r="G12" s="169"/>
      <c r="H12" s="173"/>
      <c r="I12" s="173"/>
      <c r="J12" s="165">
        <f>IF(OR(B12="SKIP",C12="n"),0,IF(AND(C9="y",OR(C15="y",C16="y",C17="y",C18="y",C19="y")),(4/27)*A1,IF(C9="y",(5/24)*A1,IF(AND(C10="y",OR(C14="y",C15="y",C16="y",C17="y",C18="y",C19="y")),(2/15)*A1,IF(C10="y",(2/13)*A1,IF(OR(C15="y",C16="y",C17="y",C18="y",C19="y"),(1/6)*A1,(1/3)*A1))))))</f>
        <v>0</v>
      </c>
      <c r="K12" s="173"/>
      <c r="L12" s="172"/>
      <c r="M12" s="166"/>
      <c r="N12" s="174"/>
      <c r="O12" s="166"/>
      <c r="P12" s="172"/>
      <c r="Q12" s="166"/>
    </row>
    <row r="13" spans="1:19" ht="13" thickBot="1">
      <c r="A13" s="8"/>
      <c r="B13" s="17" t="str">
        <f>IF(OR(C11="y",C12="y"),"SKIP","Is the father of father alive?")</f>
        <v>SKIP</v>
      </c>
      <c r="C13" s="12" t="s">
        <v>352</v>
      </c>
      <c r="D13" s="48" t="s">
        <v>307</v>
      </c>
      <c r="E13" s="169"/>
      <c r="F13" s="169"/>
      <c r="G13" s="169"/>
      <c r="H13" s="169"/>
      <c r="I13" s="169"/>
      <c r="J13" s="169"/>
      <c r="K13" s="165">
        <f>IF(OR(B13="SKIP",C13="n"),0,IF(AND(C9="y",OR(C14="y",C15="y",C16="y",C17="y",C18="y",C19="y")),(4/27)*A1,IF(C9="y",(5/24)*A1,IF(AND(C10="y",OR(C14="y",C15="y",C16="y",C17="y",C18="y",C19="y")),(2/15)*A1,IF(C10="y",(2/13)*A1,IF(OR(C14="y",C15="y",C16="y",C17="y",C18="y",C19="y"),(1/6)*A1,(1/3)*A1))))))</f>
        <v>0</v>
      </c>
      <c r="L13" s="173"/>
      <c r="M13" s="166"/>
      <c r="N13" s="174"/>
      <c r="O13" s="166"/>
      <c r="P13" s="172"/>
      <c r="Q13" s="166"/>
    </row>
    <row r="14" spans="1:19" ht="13" thickBot="1">
      <c r="A14" s="8"/>
      <c r="B14" s="17" t="str">
        <f>IF(OR(C11="Y",C12="y"),"SKIP","Is ONLY mother alive?")</f>
        <v>SKIP</v>
      </c>
      <c r="C14" s="12" t="s">
        <v>352</v>
      </c>
      <c r="D14" s="48" t="s">
        <v>307</v>
      </c>
      <c r="E14" s="169"/>
      <c r="F14" s="169"/>
      <c r="G14" s="169"/>
      <c r="H14" s="169"/>
      <c r="I14" s="169"/>
      <c r="J14" s="169"/>
      <c r="K14" s="169"/>
      <c r="L14" s="178">
        <f>IF(OR(B14="SKIP",C14="n"),0,IF(AND(C9="n",C10="n",C13="y"),(1/6)*A1,IF(AND(C9="y",C13="y"),(4/27)*A1,IF(AND(C10="y",C13="y"),(2/15)*A1,IF(C9="y",(7/40)*A1,IF(C10="y",(2/13)*A1,(1/5)*A1))))))</f>
        <v>0</v>
      </c>
      <c r="M14" s="166"/>
      <c r="N14" s="174"/>
      <c r="O14" s="166"/>
      <c r="P14" s="172"/>
      <c r="Q14" s="166"/>
    </row>
    <row r="15" spans="1:19" ht="13" thickBot="1">
      <c r="A15" s="8"/>
      <c r="B15" s="16" t="str">
        <f>IF(OR(C11="y",C14="y"),"SKIP","Is the mother of father alive?")</f>
        <v>SKIP</v>
      </c>
      <c r="C15" s="11" t="s">
        <v>352</v>
      </c>
      <c r="D15" s="48" t="s">
        <v>307</v>
      </c>
      <c r="E15" s="171"/>
      <c r="F15" s="171"/>
      <c r="G15" s="171"/>
      <c r="H15" s="171"/>
      <c r="I15" s="171"/>
      <c r="J15" s="171"/>
      <c r="K15" s="171"/>
      <c r="L15" s="171"/>
      <c r="M15" s="165">
        <f>IF(AND(C15="y",C16="y"),M21/2,M21)</f>
        <v>0</v>
      </c>
      <c r="N15" s="174"/>
      <c r="O15" s="166"/>
      <c r="P15" s="172"/>
      <c r="Q15" s="166"/>
    </row>
    <row r="16" spans="1:19" ht="13" thickBot="1">
      <c r="A16" s="8"/>
      <c r="B16" s="3" t="str">
        <f>IF(OR(C11="y",C14="y"),"SKIP","Is the mother of mother alive?")</f>
        <v>SKIP</v>
      </c>
      <c r="C16" s="24" t="s">
        <v>352</v>
      </c>
      <c r="D16" s="48" t="s">
        <v>307</v>
      </c>
      <c r="E16" s="179"/>
      <c r="F16" s="179"/>
      <c r="G16" s="179"/>
      <c r="H16" s="179"/>
      <c r="I16" s="179"/>
      <c r="J16" s="179"/>
      <c r="K16" s="179"/>
      <c r="L16" s="179"/>
      <c r="M16" s="179"/>
      <c r="N16" s="165">
        <f>IF(AND(C15="y",C16="y"),N21/2,N21)</f>
        <v>0</v>
      </c>
      <c r="O16" s="166"/>
      <c r="P16" s="172"/>
      <c r="Q16" s="166"/>
    </row>
    <row r="17" spans="1:19" ht="13" thickBot="1">
      <c r="A17" s="8"/>
      <c r="B17" s="17" t="str">
        <f>IF(OR(C11="y",C14="y",C15="y",C16="Y"),"SKIP","Is the mother of mother of father alive?")</f>
        <v>SKIP</v>
      </c>
      <c r="C17" s="12" t="s">
        <v>352</v>
      </c>
      <c r="D17" s="48" t="s">
        <v>307</v>
      </c>
      <c r="E17" s="169"/>
      <c r="F17" s="169"/>
      <c r="G17" s="169"/>
      <c r="H17" s="169"/>
      <c r="I17" s="169"/>
      <c r="J17" s="169"/>
      <c r="K17" s="169"/>
      <c r="L17" s="169"/>
      <c r="M17" s="169"/>
      <c r="N17" s="169"/>
      <c r="O17" s="165">
        <f>IF(AND(C17="y",C18="y",C19="y"),O21/3,IF(AND(C17="y",C18="y"),O21/2,IF(AND(C17="y",C19="y"),O21/2,O21)))</f>
        <v>0</v>
      </c>
      <c r="P17" s="172"/>
      <c r="Q17" s="166"/>
    </row>
    <row r="18" spans="1:19" ht="13" thickBot="1">
      <c r="A18" s="8"/>
      <c r="B18" s="17" t="str">
        <f>IF(OR(C11="y",C14="y",C15="y",C16="Y"),"SKIP","Is the mother of mother of mother alive?")</f>
        <v>SKIP</v>
      </c>
      <c r="C18" s="12" t="s">
        <v>352</v>
      </c>
      <c r="D18" s="48" t="s">
        <v>307</v>
      </c>
      <c r="E18" s="169"/>
      <c r="F18" s="169"/>
      <c r="G18" s="169"/>
      <c r="H18" s="169"/>
      <c r="I18" s="169"/>
      <c r="J18" s="169"/>
      <c r="K18" s="169"/>
      <c r="L18" s="169"/>
      <c r="M18" s="169"/>
      <c r="N18" s="169"/>
      <c r="O18" s="169"/>
      <c r="P18" s="178">
        <f>IF(AND(C17="y",C18="y",C19="y"),P21/3,IF(AND(C17="y",C18="y"),P21/2,IF(AND(C18="y",C19="y"),P21/2,P21)))</f>
        <v>0</v>
      </c>
      <c r="Q18" s="166"/>
    </row>
    <row r="19" spans="1:19" ht="13" thickBot="1">
      <c r="A19" s="8"/>
      <c r="B19" s="16" t="str">
        <f>IF(OR(C11="y",C14="y",C15="y",C16="Y"),"SKIP","Is the mother of father of father alive?")</f>
        <v>SKIP</v>
      </c>
      <c r="C19" s="11" t="s">
        <v>352</v>
      </c>
      <c r="D19" s="48" t="s">
        <v>307</v>
      </c>
      <c r="E19" s="171"/>
      <c r="F19" s="171"/>
      <c r="G19" s="171"/>
      <c r="H19" s="171"/>
      <c r="I19" s="171"/>
      <c r="J19" s="171"/>
      <c r="K19" s="171"/>
      <c r="L19" s="171"/>
      <c r="M19" s="171"/>
      <c r="N19" s="171"/>
      <c r="O19" s="171"/>
      <c r="P19" s="171"/>
      <c r="Q19" s="165">
        <f>IF(AND(C17="y",C18="y",C19="y"),Q21/3,IF(AND(C17="y",C19="y"),Q21/2,IF(AND(C18="y",C19="y"),Q21/2,Q21)))</f>
        <v>0</v>
      </c>
    </row>
    <row r="20" spans="1:19" ht="15" hidden="1" customHeight="1">
      <c r="E20" s="8"/>
      <c r="F20" s="8"/>
      <c r="G20" s="8"/>
      <c r="H20" s="8"/>
      <c r="I20" s="8"/>
      <c r="J20" s="8"/>
      <c r="K20" s="8"/>
      <c r="L20" s="8"/>
      <c r="M20" s="8"/>
      <c r="N20" s="8"/>
      <c r="O20" s="8"/>
      <c r="P20" s="8"/>
      <c r="Q20" s="8"/>
    </row>
    <row r="21" spans="1:19" ht="15" hidden="1" customHeight="1">
      <c r="E21" s="8"/>
      <c r="F21" s="8"/>
      <c r="G21" s="8"/>
      <c r="H21" s="8"/>
      <c r="I21" s="8"/>
      <c r="J21" s="8"/>
      <c r="K21" s="8"/>
      <c r="L21" s="8"/>
      <c r="M21" s="78">
        <f>IF(OR(B15="SKIP",C15="n"),0,IF(AND(C9="n",C10="n",C13="y"),(1/6)*A1,IF(AND(C9="y",OR(C12="y",C13="y")),(4/27)*A1,IF(AND(C10="y",OR(C12="y",C13="y")),(2/15)*A1,IF(C9="y",(7/40)*A1,IF(C10="y",(2/13)*A1,IF(OR(C12="y",C13="y"),(1/6)*A1,(1/5)*A1)))))))</f>
        <v>0</v>
      </c>
      <c r="N21" s="78">
        <f>IF(OR(B16="SKIP",C16="n"),0,IF(AND(C9="n",C10="n",C13="y"),(1/6)*A1,IF(AND(C9="y",OR(C12="y",C13="y")),(4/27)*A1,IF(AND(C10="y",OR(C12="y",C13="y")),(2/15)*A1,IF(C9="y",(7/40)*A1,IF(C10="y",(2/13)*A1,IF(OR(C12="y",C13="y"),(1/6)*A1,(1/5)*A1)))))))</f>
        <v>0</v>
      </c>
      <c r="O21" s="78">
        <f>IF(OR(B17="SKIP",C17="n"),0,IF(AND(C9="n",C10="n",C13="y"),(1/6)*A1,IF(AND(C9="y",OR(C12="y",C13="y")),(4/27)*A1,IF(AND(C10="y",OR(C12="y",C13="y")),(2/15)*A1,IF(C9="y",(7/40)*A1,IF(C10="y",(2/13)*A1,IF(OR(C12="y",C13="y"),(1/6)*A1,(1/5)*A1)))))))</f>
        <v>0</v>
      </c>
      <c r="P21" s="78">
        <f>IF(OR(B18="SKIP",C18="n"),0,IF(AND(C9="n",C10="n",C13="y"),(1/6)*A1,IF(AND(C9="y",OR(C12="y",C13="y")),(4/27)*A1,IF(AND(C10="y",OR(C12="y",C13="y")),(2/15)*A1,IF(C9="y",(7/40)*A1,IF(C10="y",(2/13)*A1,IF(OR(C12="y",C13="y"),(1/6)*A1,(1/5)*A1)))))))</f>
        <v>0</v>
      </c>
      <c r="Q21" s="78">
        <f>IF(OR(B19="SKIP",C19="n"),0,IF(AND(C9="n",C10="n",C13="y"),(1/6)*A1,IF(AND(C9="y",OR(C12="y",C13="y")),(4/27)*A1,IF(AND(C10="y",OR(C12="y",C13="y")),(2/15)*A1,IF(C9="y",(7/40)*A1,IF(C10="y",(2/13)*A1,IF(OR(C12="y",C13="y"),(1/6)*A1,(1/5)*A1)))))))</f>
        <v>0</v>
      </c>
    </row>
    <row r="22" spans="1:19" ht="15" customHeight="1" thickBot="1">
      <c r="E22" s="8"/>
      <c r="F22" s="8"/>
      <c r="G22" s="8"/>
      <c r="H22" s="8"/>
      <c r="I22" s="8"/>
      <c r="J22" s="8"/>
      <c r="K22" s="8"/>
      <c r="L22" s="8"/>
      <c r="M22" s="5"/>
      <c r="N22" s="5"/>
      <c r="O22" s="5"/>
      <c r="P22" s="5"/>
      <c r="Q22" s="5"/>
    </row>
    <row r="23" spans="1:19" ht="13" thickBot="1">
      <c r="B23" s="8"/>
      <c r="C23" s="8"/>
      <c r="D23" s="8"/>
      <c r="E23" s="229" t="s">
        <v>361</v>
      </c>
      <c r="F23" s="230"/>
      <c r="G23" s="230"/>
      <c r="H23" s="230"/>
      <c r="I23" s="230"/>
      <c r="J23" s="230"/>
      <c r="K23" s="230"/>
      <c r="L23" s="230"/>
      <c r="M23" s="230"/>
      <c r="N23" s="230"/>
      <c r="O23" s="231"/>
      <c r="P23" s="8"/>
      <c r="Q23" s="8"/>
    </row>
    <row r="24" spans="1:19" ht="41" thickBot="1">
      <c r="B24" s="79" t="str">
        <f>B4</f>
        <v>TABLE 2: &gt; 1 daughter, and grandchild/ren</v>
      </c>
      <c r="C24" s="8" t="s">
        <v>386</v>
      </c>
      <c r="D24" s="8"/>
      <c r="E24" s="19" t="s">
        <v>368</v>
      </c>
      <c r="F24" s="19" t="s">
        <v>375</v>
      </c>
      <c r="G24" s="19" t="s">
        <v>302</v>
      </c>
      <c r="H24" s="50" t="s">
        <v>371</v>
      </c>
      <c r="I24" s="50" t="s">
        <v>372</v>
      </c>
      <c r="J24" s="19" t="s">
        <v>362</v>
      </c>
      <c r="K24" s="19" t="s">
        <v>374</v>
      </c>
      <c r="L24" s="19" t="s">
        <v>376</v>
      </c>
      <c r="M24" s="51" t="s">
        <v>377</v>
      </c>
      <c r="N24" s="19" t="s">
        <v>349</v>
      </c>
      <c r="O24" s="19" t="s">
        <v>350</v>
      </c>
      <c r="P24" s="8"/>
      <c r="Q24" s="8"/>
      <c r="R24" s="8"/>
      <c r="S24" s="8"/>
    </row>
    <row r="25" spans="1:19" ht="13" thickBot="1">
      <c r="B25" s="46" t="s">
        <v>366</v>
      </c>
      <c r="C25" s="12">
        <v>1</v>
      </c>
      <c r="D25" s="53" t="s">
        <v>351</v>
      </c>
      <c r="E25" s="180">
        <f>SUM(E36:E47)</f>
        <v>22222.222222222219</v>
      </c>
      <c r="F25" s="166"/>
      <c r="G25" s="166"/>
      <c r="H25" s="172"/>
      <c r="I25" s="172"/>
      <c r="J25" s="166"/>
      <c r="K25" s="179"/>
      <c r="L25" s="166"/>
      <c r="M25" s="174"/>
      <c r="N25" s="166"/>
      <c r="O25" s="166"/>
      <c r="P25" s="58"/>
      <c r="Q25" s="58"/>
      <c r="R25" s="58"/>
      <c r="S25" s="59"/>
    </row>
    <row r="26" spans="1:19" ht="25" thickBot="1">
      <c r="B26" s="46" t="s">
        <v>367</v>
      </c>
      <c r="C26" s="12">
        <v>1</v>
      </c>
      <c r="D26" s="54" t="s">
        <v>351</v>
      </c>
      <c r="E26" s="175"/>
      <c r="F26" s="180">
        <f>SUM(F36:F47)</f>
        <v>11111.111111111109</v>
      </c>
      <c r="G26" s="177"/>
      <c r="H26" s="172"/>
      <c r="I26" s="172"/>
      <c r="J26" s="166"/>
      <c r="K26" s="179"/>
      <c r="L26" s="166"/>
      <c r="M26" s="174"/>
      <c r="N26" s="166"/>
      <c r="O26" s="166"/>
      <c r="P26" s="239" t="str">
        <f>IF(AND(C28="n",C29="n",OR(C30="y",C31="y",C32="y",C33="y",C34="y")),"Please enter a Y for either spouse, as ISNA Schedule A doesnot provide calculations for your unique case","")</f>
        <v/>
      </c>
      <c r="Q26" s="239"/>
      <c r="R26" s="239"/>
      <c r="S26" s="60"/>
    </row>
    <row r="27" spans="1:19" ht="13" thickBot="1">
      <c r="B27" s="16" t="s">
        <v>299</v>
      </c>
      <c r="C27" s="11">
        <v>2</v>
      </c>
      <c r="D27" s="55" t="s">
        <v>306</v>
      </c>
      <c r="E27" s="185" t="str">
        <f>IF(C27&lt;2,"ERROR MUST BE &gt;1","")</f>
        <v/>
      </c>
      <c r="F27" s="181"/>
      <c r="G27" s="165">
        <f>SUM(G36:G47)</f>
        <v>66666.666666666672</v>
      </c>
      <c r="H27" s="172"/>
      <c r="I27" s="172"/>
      <c r="J27" s="166"/>
      <c r="K27" s="179"/>
      <c r="L27" s="166"/>
      <c r="M27" s="174"/>
      <c r="N27" s="166"/>
      <c r="O27" s="166"/>
      <c r="P27" s="239"/>
      <c r="Q27" s="239"/>
      <c r="R27" s="239"/>
      <c r="S27" s="60"/>
    </row>
    <row r="28" spans="1:19" ht="13" thickBot="1">
      <c r="B28" s="17" t="str">
        <f>IF(C29="y","SKIP","Remaining spouse is wife?")</f>
        <v>Remaining spouse is wife?</v>
      </c>
      <c r="C28" s="12" t="s">
        <v>352</v>
      </c>
      <c r="D28" s="53" t="s">
        <v>307</v>
      </c>
      <c r="E28" s="169"/>
      <c r="F28" s="169"/>
      <c r="G28" s="169"/>
      <c r="H28" s="178">
        <f>SUM(H36:H47)</f>
        <v>0</v>
      </c>
      <c r="I28" s="172"/>
      <c r="J28" s="166"/>
      <c r="K28" s="179"/>
      <c r="L28" s="166"/>
      <c r="M28" s="174"/>
      <c r="N28" s="166"/>
      <c r="O28" s="166"/>
      <c r="P28" s="239"/>
      <c r="Q28" s="239"/>
      <c r="R28" s="239"/>
      <c r="S28" s="60"/>
    </row>
    <row r="29" spans="1:19" ht="13" thickBot="1">
      <c r="B29" s="17" t="str">
        <f>IF(C28="y","SKIP","Remaining spouse is husband?")</f>
        <v>Remaining spouse is husband?</v>
      </c>
      <c r="C29" s="12" t="s">
        <v>352</v>
      </c>
      <c r="D29" s="53" t="s">
        <v>307</v>
      </c>
      <c r="E29" s="169"/>
      <c r="F29" s="169"/>
      <c r="G29" s="169"/>
      <c r="H29" s="169"/>
      <c r="I29" s="165">
        <f>SUM(I36:I47)</f>
        <v>0</v>
      </c>
      <c r="J29" s="177"/>
      <c r="K29" s="179"/>
      <c r="L29" s="166"/>
      <c r="M29" s="174"/>
      <c r="N29" s="166"/>
      <c r="O29" s="166"/>
      <c r="P29" s="239"/>
      <c r="Q29" s="239"/>
      <c r="R29" s="239"/>
      <c r="S29" s="60"/>
    </row>
    <row r="30" spans="1:19" ht="13" thickBot="1">
      <c r="B30" s="17" t="s">
        <v>373</v>
      </c>
      <c r="C30" s="12" t="s">
        <v>352</v>
      </c>
      <c r="D30" s="53" t="s">
        <v>307</v>
      </c>
      <c r="E30" s="169"/>
      <c r="F30" s="169"/>
      <c r="G30" s="169"/>
      <c r="H30" s="169"/>
      <c r="I30" s="169"/>
      <c r="J30" s="165">
        <f>SUM(J36:J47)</f>
        <v>0</v>
      </c>
      <c r="K30" s="178">
        <f>SUM(K36:K47)</f>
        <v>0</v>
      </c>
      <c r="L30" s="166"/>
      <c r="M30" s="174"/>
      <c r="N30" s="166"/>
      <c r="O30" s="166"/>
      <c r="P30" s="239"/>
      <c r="Q30" s="239"/>
      <c r="R30" s="239"/>
      <c r="S30" s="60"/>
    </row>
    <row r="31" spans="1:19" ht="25" thickBot="1">
      <c r="B31" s="46" t="str">
        <f>IF(C30="y","SKIP","Only one parent is alive? (either mother or Father)")</f>
        <v>Only one parent is alive? (either mother or Father)</v>
      </c>
      <c r="C31" s="11" t="s">
        <v>352</v>
      </c>
      <c r="D31" s="53" t="s">
        <v>307</v>
      </c>
      <c r="E31" s="171"/>
      <c r="F31" s="171"/>
      <c r="G31" s="171"/>
      <c r="H31" s="171"/>
      <c r="I31" s="171"/>
      <c r="J31" s="171"/>
      <c r="K31" s="171"/>
      <c r="L31" s="165">
        <f>SUM(L36:L47)</f>
        <v>0</v>
      </c>
      <c r="M31" s="174"/>
      <c r="N31" s="166"/>
      <c r="O31" s="166"/>
      <c r="P31" s="239"/>
      <c r="Q31" s="239"/>
      <c r="R31" s="239"/>
      <c r="S31" s="60"/>
    </row>
    <row r="32" spans="1:19" ht="13" thickBot="1">
      <c r="B32" s="3" t="str">
        <f>IF(C30="y","SKIP","Is father of father alive? (no father)")</f>
        <v>Is father of father alive? (no father)</v>
      </c>
      <c r="C32" s="24" t="s">
        <v>352</v>
      </c>
      <c r="D32" s="53" t="s">
        <v>307</v>
      </c>
      <c r="E32" s="179"/>
      <c r="F32" s="179"/>
      <c r="G32" s="179"/>
      <c r="H32" s="179"/>
      <c r="I32" s="179"/>
      <c r="J32" s="179"/>
      <c r="K32" s="179"/>
      <c r="L32" s="179"/>
      <c r="M32" s="165">
        <f>SUM(M36:M47)</f>
        <v>0</v>
      </c>
      <c r="N32" s="166"/>
      <c r="O32" s="166"/>
      <c r="P32" s="239"/>
      <c r="Q32" s="239"/>
      <c r="R32" s="239"/>
      <c r="S32" s="60"/>
    </row>
    <row r="33" spans="1:19" ht="13" thickBot="1">
      <c r="B33" s="17" t="str">
        <f>IF(C30="y","SKIP",IF(AND(C31="y",C32="y"),"SKIP","Is the mother of father alive?"))</f>
        <v>Is the mother of father alive?</v>
      </c>
      <c r="C33" s="12" t="s">
        <v>352</v>
      </c>
      <c r="D33" s="53" t="s">
        <v>307</v>
      </c>
      <c r="E33" s="169"/>
      <c r="F33" s="169"/>
      <c r="G33" s="169"/>
      <c r="H33" s="169"/>
      <c r="I33" s="169"/>
      <c r="J33" s="169"/>
      <c r="K33" s="169"/>
      <c r="L33" s="169"/>
      <c r="M33" s="169"/>
      <c r="N33" s="165">
        <f>SUM(N36:N47)</f>
        <v>0</v>
      </c>
      <c r="O33" s="177"/>
      <c r="P33" s="239"/>
      <c r="Q33" s="239"/>
      <c r="R33" s="239"/>
      <c r="S33" s="60"/>
    </row>
    <row r="34" spans="1:19" ht="13" thickBot="1">
      <c r="B34" s="16" t="str">
        <f>IF(C30="y","SKIP",IF(AND(C31="y",C32="y"),"SKIP","Is the mother of mother alive?"))</f>
        <v>Is the mother of mother alive?</v>
      </c>
      <c r="C34" s="11" t="s">
        <v>352</v>
      </c>
      <c r="D34" s="55" t="s">
        <v>307</v>
      </c>
      <c r="E34" s="171"/>
      <c r="F34" s="171"/>
      <c r="G34" s="171"/>
      <c r="H34" s="171"/>
      <c r="I34" s="171"/>
      <c r="J34" s="171"/>
      <c r="K34" s="171"/>
      <c r="L34" s="171"/>
      <c r="M34" s="171"/>
      <c r="N34" s="171"/>
      <c r="O34" s="165">
        <f>SUM(O36:O47)</f>
        <v>0</v>
      </c>
      <c r="P34" s="61"/>
      <c r="Q34" s="61"/>
      <c r="R34" s="61"/>
      <c r="S34" s="62"/>
    </row>
    <row r="35" spans="1:19" ht="13" thickBot="1">
      <c r="B35" s="8"/>
      <c r="D35" s="8"/>
      <c r="E35" s="8"/>
      <c r="F35" s="8"/>
      <c r="G35" s="8"/>
      <c r="H35" s="8"/>
      <c r="I35" s="8"/>
      <c r="J35" s="8"/>
      <c r="K35" s="8"/>
      <c r="L35" s="8"/>
      <c r="M35" s="8"/>
      <c r="N35" s="8"/>
      <c r="O35" s="8"/>
      <c r="P35" s="8"/>
      <c r="Q35" s="8"/>
      <c r="R35" s="8"/>
      <c r="S35" s="8"/>
    </row>
    <row r="36" spans="1:19" hidden="1">
      <c r="B36" s="8" t="s">
        <v>312</v>
      </c>
      <c r="C36" s="64">
        <f t="shared" ref="C36:C47" si="0">SUM(E36:O36)</f>
        <v>100000</v>
      </c>
      <c r="D36" s="8"/>
      <c r="E36" s="80">
        <f>IF(AND(C25&gt;0,C28="n",C29="n",C30="n",C31="n",C32="n",C33="n",C34="n"),((1/3)*A1)/(C25+(C26/2))*(C25),0)</f>
        <v>22222.222222222219</v>
      </c>
      <c r="F36" s="80">
        <f>IF(AND(C25&gt;0,C28="n",C29="n",C30="n",C31="n",C32="n",C33="n",C34="n"),((1/3)*A1)/(C25+(C26/2))*(C26/2),0)</f>
        <v>11111.111111111109</v>
      </c>
      <c r="G36" s="80">
        <f>IF(AND(C25&gt;0,C28="n",C29="n",C30="n",C31="n",C32="n",C33="n",C34="n"),A1-E36-F36,)</f>
        <v>66666.666666666672</v>
      </c>
      <c r="H36" s="80"/>
      <c r="I36" s="80"/>
      <c r="J36" s="80"/>
      <c r="K36" s="80"/>
      <c r="L36" s="80"/>
      <c r="M36" s="80"/>
      <c r="N36" s="8"/>
      <c r="O36" s="8"/>
      <c r="P36" s="8"/>
      <c r="Q36" s="8"/>
      <c r="R36" s="8"/>
      <c r="S36" s="8"/>
    </row>
    <row r="37" spans="1:19" hidden="1">
      <c r="B37" s="8" t="s">
        <v>314</v>
      </c>
      <c r="C37" s="64">
        <f t="shared" si="0"/>
        <v>0</v>
      </c>
      <c r="D37" s="8"/>
      <c r="E37" s="80">
        <f>IF(AND(C28="y",C29="n",C30="n",C31="n",C32="n",C33="n",C34="n"),(A1-G37-H37-I37)/(C25+(C26/2))*(C25),0)</f>
        <v>0</v>
      </c>
      <c r="F37" s="80">
        <f>IF(AND(C28="y",C29="n",C30="n",C31="n",C32="n",C33="n",C34="n"),(A1-G37-H37-I37)/(C25+(C26/2))*(C26/2),0)</f>
        <v>0</v>
      </c>
      <c r="G37" s="80">
        <f>IF(AND(C28="y",C29="n",C30="n",C31="n",C32="n",C33="n",C34="n"),(2/3)*A1,0)</f>
        <v>0</v>
      </c>
      <c r="H37" s="80">
        <f>IF(AND(C28="y",C29="n",C30="n",C31="n",C32="n",C33="n",C34="n"),(1/8)*A1,0)</f>
        <v>0</v>
      </c>
      <c r="I37" s="80"/>
      <c r="J37" s="80"/>
      <c r="K37" s="80"/>
      <c r="L37" s="80"/>
      <c r="M37" s="80"/>
      <c r="N37" s="8"/>
      <c r="O37" s="8"/>
      <c r="P37" s="8"/>
      <c r="Q37" s="8"/>
      <c r="R37" s="8"/>
      <c r="S37" s="8"/>
    </row>
    <row r="38" spans="1:19" hidden="1">
      <c r="B38" s="8" t="s">
        <v>313</v>
      </c>
      <c r="C38" s="64">
        <f t="shared" si="0"/>
        <v>0</v>
      </c>
      <c r="D38" s="8"/>
      <c r="E38" s="80">
        <f>IF(AND(C28="n",C29="y",C30="n",C31="n",C32="n",C33="n",C34="n"),(A1-G38-H38-I38)/(C25+(C26/2))*(C25),0)</f>
        <v>0</v>
      </c>
      <c r="F38" s="80">
        <f>IF(AND(C28="n",C29="y",C30="n",C31="n",C32="n",C33="n",C34="n"),(A1-G38-H38-I38)/(C25+(C26/2))*(C26/2),0)</f>
        <v>0</v>
      </c>
      <c r="G38" s="80">
        <f>IF(AND(C28="n",C29="y",C30="n",C31="n",C32="n",C33="n",C34="n"),(2/3)*A1,0)</f>
        <v>0</v>
      </c>
      <c r="H38" s="80">
        <f>IF(AND(C28="y",C29="n",C30="n",C31="n",C32="n",C33="n",C34="n"),0,0)</f>
        <v>0</v>
      </c>
      <c r="I38" s="80">
        <f>IF(AND(C29="y",C28="n",C30="n",C31="n",C32="n",C33="n",C34="n"),(1/4)*A1,0)</f>
        <v>0</v>
      </c>
      <c r="J38" s="80"/>
      <c r="K38" s="80"/>
      <c r="L38" s="80"/>
      <c r="M38" s="80"/>
      <c r="N38" s="8"/>
      <c r="O38" s="8"/>
      <c r="P38" s="8"/>
      <c r="Q38" s="8"/>
      <c r="R38" s="8"/>
      <c r="S38" s="8"/>
    </row>
    <row r="39" spans="1:19" ht="17.25" hidden="1" customHeight="1">
      <c r="B39" s="8" t="s">
        <v>315</v>
      </c>
      <c r="C39" s="64">
        <f t="shared" si="0"/>
        <v>0</v>
      </c>
      <c r="D39" s="8"/>
      <c r="E39" s="80">
        <f>IF(AND(C28="y",C29="n",C30="y",C31="n",C32="n",C33="n",C34="n"),0,0)</f>
        <v>0</v>
      </c>
      <c r="F39" s="80">
        <f>IF(AND(C28="y",C29="n",C30="y",C31="n",C32="n",C33="n",C34="n"),0,0)</f>
        <v>0</v>
      </c>
      <c r="G39" s="80">
        <f>IF(AND(C28="y",C29="n",C30="y",C31="n",C32="n",C33="n",C34="n"),(16/27)*A1,0)</f>
        <v>0</v>
      </c>
      <c r="H39" s="80">
        <f>IF(AND(C28="y",C29="n",C30="y",C31="n",C32="n",C33="n",C33="n"),(3/27)*A1,0)</f>
        <v>0</v>
      </c>
      <c r="I39" s="80">
        <f>IF(AND(C28="y",C29="n",C30="y",C31="n",C32="n",C33="n",C34="n"),0,0)</f>
        <v>0</v>
      </c>
      <c r="J39" s="80">
        <f>IF(AND(C29="n",C28="y",C30="y",C31="n",C32="n",C33="n",C34="n"),(4/27)*A1,0)</f>
        <v>0</v>
      </c>
      <c r="K39" s="80">
        <f>IF(AND(C29="n",C28="y",C30="y",C31="n",C32="n",C33="n",C34="n"),(4/27)*A1,0)</f>
        <v>0</v>
      </c>
      <c r="L39" s="80"/>
      <c r="M39" s="80"/>
      <c r="N39" s="8"/>
      <c r="O39" s="8"/>
      <c r="P39" s="8"/>
      <c r="Q39" s="8"/>
      <c r="R39" s="8"/>
      <c r="S39" s="8"/>
    </row>
    <row r="40" spans="1:19" hidden="1">
      <c r="B40" s="8" t="s">
        <v>316</v>
      </c>
      <c r="C40" s="64">
        <f t="shared" si="0"/>
        <v>0</v>
      </c>
      <c r="D40" s="8"/>
      <c r="E40" s="80">
        <f>IF(AND(C28="n",C29="y",C30="y",C31="n",C32="n",C33="n",C34="n"),0,0)</f>
        <v>0</v>
      </c>
      <c r="F40" s="80">
        <f>IF(AND(C28="n",C29="y",C30="y",C31="n",C32="n",C33="n",C34="n"),0,0)</f>
        <v>0</v>
      </c>
      <c r="G40" s="80">
        <f>IF(AND(C28="n",C29="y",C30="y",C31="n",C32="n",C33="n",C34="n"),(8/15)*A1,0)</f>
        <v>0</v>
      </c>
      <c r="H40" s="80">
        <f>IF(AND(C28="n",C29="y",C30="y",C31="n",C32="n",C33="n",C34="n"),0,0)</f>
        <v>0</v>
      </c>
      <c r="I40" s="80">
        <f>IF(AND(C29="y",C28="n",C30="y",C31="n",C32="n",C33="n",C34="n"),(3/15)*A1,0)</f>
        <v>0</v>
      </c>
      <c r="J40" s="80">
        <f>IF(AND(C29="y",C28="n",C30="y",C31="n",C32="n",C33="n",C34="n"),(2/15)*A1,0)</f>
        <v>0</v>
      </c>
      <c r="K40" s="80">
        <f>IF(AND(C29="y",C28="n",C30="y",C31="n",C32="n",C33="n",C34="n"),(2/15)*A1,0)</f>
        <v>0</v>
      </c>
      <c r="L40" s="80"/>
      <c r="M40" s="80"/>
      <c r="N40" s="8"/>
      <c r="O40" s="8"/>
      <c r="P40" s="8"/>
      <c r="Q40" s="8"/>
      <c r="R40" s="8"/>
      <c r="S40" s="8"/>
    </row>
    <row r="41" spans="1:19" hidden="1">
      <c r="B41" s="8" t="s">
        <v>317</v>
      </c>
      <c r="C41" s="64">
        <f t="shared" si="0"/>
        <v>0</v>
      </c>
      <c r="D41" s="8"/>
      <c r="E41" s="80">
        <f>IF(AND(C28="y",C29="n",C30="n",C31="y",C32="n",C33="n",C34="n"),((1/24)*A1)/(C25+(C26/2))*(C25),0)</f>
        <v>0</v>
      </c>
      <c r="F41" s="80">
        <f>IF(AND(C28="y",C29="n",C30="n",C31="y",C32="n",C33="n",C34="n"),((1/24)*A1)/(C25+(C26/2))*(C26/2),0)</f>
        <v>0</v>
      </c>
      <c r="G41" s="80">
        <f>IF(AND(C28="y",C29="n",C30="n",C31="y",C32="n",C33="n",C34="n"),(2/3)*A1,0)</f>
        <v>0</v>
      </c>
      <c r="H41" s="80">
        <f>IF(AND(C28="y",C29="n",C30="n",C31="y",C32="n",C33="n",C33="n"),(1/8)*A1,0)</f>
        <v>0</v>
      </c>
      <c r="I41" s="80">
        <f>IF(AND(C28="y",C29="n",C30="n",C31="y",C32="n",C33="n",C34="n"),0,0)</f>
        <v>0</v>
      </c>
      <c r="J41" s="80">
        <f>IF(AND(C28="y",C29="n",C30="n",C31="y",C32="n",C33="n",C34="n"),0,0)</f>
        <v>0</v>
      </c>
      <c r="K41" s="80">
        <f>IF(AND(C28="n",C29="y",C30="n",C31="y",C32="n",C33="n",C34="n"),0,0)</f>
        <v>0</v>
      </c>
      <c r="L41" s="80">
        <f>IF(AND(C28="y",C29="n",C30="n",C31="y",C32="n",C33="n",C34="n"),(1/6)*A1,0)</f>
        <v>0</v>
      </c>
      <c r="M41" s="80"/>
      <c r="N41" s="8"/>
      <c r="O41" s="8"/>
      <c r="P41" s="8"/>
      <c r="Q41" s="8"/>
      <c r="R41" s="8"/>
      <c r="S41" s="8"/>
    </row>
    <row r="42" spans="1:19" s="29" customFormat="1" ht="39.75" hidden="1" customHeight="1">
      <c r="A42" s="1"/>
      <c r="B42" s="8" t="s">
        <v>318</v>
      </c>
      <c r="C42" s="64">
        <f t="shared" si="0"/>
        <v>0</v>
      </c>
      <c r="D42" s="8"/>
      <c r="E42" s="80">
        <f>IF(AND(C28="n",C29="y",C30="n",C31="y",C32="n",C33="n",C34="n"),0,0)</f>
        <v>0</v>
      </c>
      <c r="F42" s="80">
        <f>IF(AND(C28="n",C29="y",C30="n",C31="y",C32="n",C33="n",C34="n"),0,0)</f>
        <v>0</v>
      </c>
      <c r="G42" s="80">
        <f>IF(AND(C28="n",C29="y",C30="n",C31="y",C32="n",C33="n",C34="n"),(8/13)*A1,0)</f>
        <v>0</v>
      </c>
      <c r="H42" s="80">
        <f>IF(AND(C28="n",C29="y",C30="n",C31="y",C32="n",C33="n",C34="n"),0,0)</f>
        <v>0</v>
      </c>
      <c r="I42" s="80">
        <f>IF(AND(C28="n",C29="y",C30="n",C31="y",C32="n",C33="n",C34="n"),(3/13)*A1,0)</f>
        <v>0</v>
      </c>
      <c r="J42" s="80">
        <f>IF(AND(C28="n",C29="y",C30="n",C31="y",C32="n",C33="n",C34="n"),0,0)</f>
        <v>0</v>
      </c>
      <c r="K42" s="80">
        <f>IF(AND(C28="n",C29="y",C30="n",C31="y",C32="n",C33="n",C34="n"),0,0)</f>
        <v>0</v>
      </c>
      <c r="L42" s="80">
        <f>IF(AND(C28="n",C29="y",C30="n",C31="y",C32="n",C33="n",C34="n"),(2/13)*A1,0)</f>
        <v>0</v>
      </c>
      <c r="M42" s="80"/>
      <c r="N42" s="8"/>
      <c r="O42" s="8"/>
      <c r="P42" s="8"/>
      <c r="Q42" s="8"/>
      <c r="R42" s="8"/>
      <c r="S42" s="8"/>
    </row>
    <row r="43" spans="1:19" hidden="1">
      <c r="B43" s="8" t="s">
        <v>319</v>
      </c>
      <c r="C43" s="64">
        <f t="shared" si="0"/>
        <v>0</v>
      </c>
      <c r="D43" s="8"/>
      <c r="E43" s="80">
        <f>IF(AND(C28="y",C29="n",C30="n",C31="y",C32="y",C33="n",C34="n"),0,0)</f>
        <v>0</v>
      </c>
      <c r="F43" s="80">
        <f>IF(AND(C28="y",C29="n",C30="n",C31="y",C32="y",C33="n",C34="n"),0,0)</f>
        <v>0</v>
      </c>
      <c r="G43" s="80">
        <f>IF(AND(C28="y",C29="n",C30="n",C31="y",C32="y",C33="n",C34="n"),(16/27)*A1,0)</f>
        <v>0</v>
      </c>
      <c r="H43" s="80">
        <f>IF(AND(C28="y",C29="n",C30="n",C31="y",C32="y",C33="n",C34="n"),(3/27)*A1,0)</f>
        <v>0</v>
      </c>
      <c r="I43" s="80">
        <f>IF(AND(C28="y",C29="n",C30="n",C31="y",C32="y",C33="n",C34="n"),0,0)</f>
        <v>0</v>
      </c>
      <c r="J43" s="80">
        <f>IF(AND(C28="y",C29="n",C30="n",C31="y",C32="y",C33="n",C34="n"),0,0)</f>
        <v>0</v>
      </c>
      <c r="K43" s="80">
        <f>IF(AND(C28="y",C29="n",C30="n",C31="y",C32="y",C33="n",C34="n"),0,0)</f>
        <v>0</v>
      </c>
      <c r="L43" s="80">
        <f>IF(AND(C28="y",C29="n",C30="n",C31="y",C32="y",C33="n",C34="n"),(4/27)*A1,0)</f>
        <v>0</v>
      </c>
      <c r="M43" s="80">
        <f>IF(AND(C28="y",C29="n",C30="n",C31="y",C32="y",C33="n",C34="n"),(4/27)*A1,0)</f>
        <v>0</v>
      </c>
      <c r="N43" s="8"/>
      <c r="O43" s="8"/>
      <c r="P43" s="8"/>
      <c r="Q43" s="8"/>
      <c r="R43" s="8"/>
      <c r="S43" s="8"/>
    </row>
    <row r="44" spans="1:19" hidden="1">
      <c r="B44" s="8" t="s">
        <v>320</v>
      </c>
      <c r="C44" s="64">
        <f t="shared" si="0"/>
        <v>0</v>
      </c>
      <c r="D44" s="8"/>
      <c r="E44" s="80">
        <f>IF(AND(C28="n",C29="y",C30="n",C31="y",C32="y",C33="n",C34="n"),0,0)</f>
        <v>0</v>
      </c>
      <c r="F44" s="80">
        <f>IF(AND(C28="n",C29="y",C30="n",C31="y",C32="y",C33="n",C34="n"),0,0)</f>
        <v>0</v>
      </c>
      <c r="G44" s="80">
        <f>IF(AND(C28="n",C29="y",C30="n",C31="y",C32="y",C33="n",C34="n"),(8/15)*A1,0)</f>
        <v>0</v>
      </c>
      <c r="H44" s="80">
        <f>IF(AND(C28="n",C29="y",C30="n",C31="y",C32="y",C33="n",C34="n"),0,0)</f>
        <v>0</v>
      </c>
      <c r="I44" s="80">
        <f>IF(AND(C28="n",C29="y",C30="n",C31="y",C32="y",C33="n",C34="n"),(3/15)*A1,0)</f>
        <v>0</v>
      </c>
      <c r="J44" s="80">
        <f>IF(AND(C28="n",C29="y",C30="n",C31="y",C32="y",C33="n",C34="n"),0,0)</f>
        <v>0</v>
      </c>
      <c r="K44" s="80">
        <f>IF(AND(C28="n",C29="y",C30="n",C31="y",C32="y",C33="n",C34="n"),0,0)</f>
        <v>0</v>
      </c>
      <c r="L44" s="80">
        <f>IF(AND(C28="n",C29="y",C30="n",C31="y",C32="y",C33="n",C34="n"),(2/15)*A1,0)</f>
        <v>0</v>
      </c>
      <c r="M44" s="80">
        <f>IF(AND(C28="n",C29="y",C30="n",C31="y",C32="y",C33="n",C34="n"),(2/15)*A1,0)</f>
        <v>0</v>
      </c>
      <c r="N44" s="8"/>
      <c r="O44" s="8"/>
      <c r="P44" s="8"/>
      <c r="Q44" s="8"/>
      <c r="R44" s="8"/>
      <c r="S44" s="8"/>
    </row>
    <row r="45" spans="1:19" hidden="1">
      <c r="B45" s="8" t="s">
        <v>321</v>
      </c>
      <c r="C45" s="64">
        <f t="shared" si="0"/>
        <v>0</v>
      </c>
      <c r="D45" s="8"/>
      <c r="E45" s="80">
        <f>IF(AND(C28="y",C29="n",C30="n",C31="n",C32="y",OR(C33="y",C34="y")),0,0)</f>
        <v>0</v>
      </c>
      <c r="F45" s="80">
        <f>IF(AND(C28="y",C29="n",C30="n",C31="n",C32="y",OR(C33="y",C34="y")),0,0)</f>
        <v>0</v>
      </c>
      <c r="G45" s="80">
        <f>IF(AND(C28="y",C29="n",C30="n",C31="n",C32="y",OR(C33="y",C34="y")),(16/27)*A1,0)</f>
        <v>0</v>
      </c>
      <c r="H45" s="80">
        <f>IF(AND(C28="y",C29="n",C30="n",C31="n",C32="y",OR(C33="y",C34="y")),(3/27)*A1,0)</f>
        <v>0</v>
      </c>
      <c r="I45" s="80">
        <f>IF(AND(C28="y",C29="n",C30="n",C31="n",C32="y",OR(C33="y",C34="y")),0,0)</f>
        <v>0</v>
      </c>
      <c r="J45" s="80">
        <f>IF(AND(C28="y",C29="n",C30="n",C31="n",C32="y",OR(C33="y",C34="y")),0,0)</f>
        <v>0</v>
      </c>
      <c r="K45" s="80">
        <f>IF(AND(C28="y",C29="n",C30="n",C31="n",C32="y",OR(C33="y",C34="y")),0,0)</f>
        <v>0</v>
      </c>
      <c r="L45" s="80">
        <f>IF(AND(C28="y",C29="n",C30="n",C31="n",C32="y",OR(C33="y",C34="y")),0,0)</f>
        <v>0</v>
      </c>
      <c r="M45" s="80">
        <f>IF(AND(C28="y",C29="n",C30="n",C31="n",C32="y",OR(C33="y",C34="y")),(4/27)*A1,0)</f>
        <v>0</v>
      </c>
      <c r="N45" s="8">
        <f>IF(AND(C28="y",C29="n",C30="n",C31="n",C32="y",C33="y",C34="y"),((4/27)*A1)/2,IF(AND(C28="y",C29="n",C30="n",C31="n",C32="y",C33="y",C34="n"),((4/27)*A1),IF(AND(C28="y",C29="n",C30="n",C31="n",C32="y",C33="n",C34="y"),0,0)))</f>
        <v>0</v>
      </c>
      <c r="O45" s="8">
        <f>IF(AND(C28="y",C29="n",C30="n",C31="n",C32="y",C33="y",C34="y"),((4/27)*A1)/2,IF(AND(C28="y",C29="n",C30="n",C31="n",C32="y",C33="y",C34="n"),0,IF(AND(C28="y",C29="n",C30="n",C31="n",C32="y",C33="n",C34="y"),((4/27)*A1),0)))</f>
        <v>0</v>
      </c>
      <c r="P45" s="8"/>
      <c r="Q45" s="8"/>
      <c r="R45" s="8"/>
      <c r="S45" s="8"/>
    </row>
    <row r="46" spans="1:19" hidden="1">
      <c r="B46" s="8" t="s">
        <v>322</v>
      </c>
      <c r="C46" s="64">
        <f t="shared" si="0"/>
        <v>0</v>
      </c>
      <c r="D46" s="8"/>
      <c r="E46" s="80">
        <f>IF(AND(C28="n",C29="y",C30="n",C31="n",C32="y",OR(C33="y",C34="y")),0,0)</f>
        <v>0</v>
      </c>
      <c r="F46" s="80">
        <f>IF(AND(C28="n",C29="y",C30="n",C31="n",C32="y",OR(C33="y",C34="y")),0,0)</f>
        <v>0</v>
      </c>
      <c r="G46" s="80">
        <f>IF(AND(C28="n",C29="y",C30="n",C31="n",C32="y",OR(C33="y",C34="y")),(8/15)*A1,0)</f>
        <v>0</v>
      </c>
      <c r="H46" s="80">
        <f>IF(AND(C28="n",C29="y",C30="n",C31="n",C32="y",OR(C33="y",C34="y")),0,0)</f>
        <v>0</v>
      </c>
      <c r="I46" s="80">
        <f>IF(AND(C28="n",C29="y",C30="n",C31="n",C32="y",OR(C33="y",C34="y")),(3/15)*A1,0)</f>
        <v>0</v>
      </c>
      <c r="J46" s="80">
        <f>IF(AND(C28="n",C29="y",C30="n",C31="n",C32="y",OR(C33="y",C34="y")),0,0)</f>
        <v>0</v>
      </c>
      <c r="K46" s="80">
        <f>IF(AND(C28="n",C29="y",C30="n",C31="n",C32="y",OR(C33="y",C34="y")),0,0)</f>
        <v>0</v>
      </c>
      <c r="L46" s="80">
        <f>IF(AND(C28="n",C29="y",C30="n",C31="n",C32="y",OR(C33="y",C34="y")),0,0)</f>
        <v>0</v>
      </c>
      <c r="M46" s="80">
        <f>IF(AND(C28="n",C29="y",C30="n",C31="n",C32="y",OR(C33="y",C34="y")),(2/15)*A1,0)</f>
        <v>0</v>
      </c>
      <c r="N46" s="8">
        <f>IF(AND(C28="n",C29="y",C30="n",C31="n",C32="y",C33="y",C34="y"),((2/15)*A1)/2,IF(AND(C28="n",C29="y",C30="n",C31="n",C32="y",C33="y",C34="n"),((2/15)*A1),IF(AND(C28="n",C29="y",C30="n",C31="n",C32="y",C33="n",C34="y"),0,0)))</f>
        <v>0</v>
      </c>
      <c r="O46" s="8">
        <f>IF(AND(C28="n",C29="y",C30="n",C31="n",C32="y",C33="y",C34="y"),((2/15)*A1)/2,IF(AND(C28="n",C29="y",C30="n",C31="n",C32="y",C33="y",C34="n"),0,IF(AND(C28="n",C29="y",C30="n",C31="n",C32="y",C33="n",C34="y"),(2/15)*A1,0)))</f>
        <v>0</v>
      </c>
      <c r="P46" s="8"/>
      <c r="Q46" s="8"/>
      <c r="R46" s="8"/>
      <c r="S46" s="8"/>
    </row>
    <row r="47" spans="1:19" hidden="1">
      <c r="B47" s="8" t="s">
        <v>323</v>
      </c>
      <c r="C47" s="64">
        <f t="shared" si="0"/>
        <v>0</v>
      </c>
      <c r="D47" s="8"/>
      <c r="E47" s="8">
        <f>IF(AND(C25=0,C26&gt;0,C28="n",C29="n",C30="n",C31="n",C32="n",C33="n",C34="n"),0,0)</f>
        <v>0</v>
      </c>
      <c r="F47" s="8">
        <f>IF(AND(C25=0,C26&gt;0,C28="n",C29="n",C30="n",C31="n",C32="n",C33="n",C34="n"),((1/4)*A1),0)</f>
        <v>0</v>
      </c>
      <c r="G47" s="8">
        <f>IF(AND(C25=0,C26&gt;0,C28="n",C29="n",C30="n",C31="n",C32="n",C33="n",C34="n"),((3/4)*A1),0)</f>
        <v>0</v>
      </c>
      <c r="H47" s="8"/>
      <c r="I47" s="8"/>
      <c r="J47" s="8"/>
      <c r="K47" s="8"/>
      <c r="L47" s="8"/>
      <c r="M47" s="8"/>
      <c r="N47" s="8"/>
      <c r="O47" s="8"/>
      <c r="P47" s="8"/>
      <c r="Q47" s="8"/>
      <c r="R47" s="8"/>
      <c r="S47" s="8"/>
    </row>
    <row r="48" spans="1:19" ht="13" thickBot="1">
      <c r="B48" s="8"/>
      <c r="D48" s="8"/>
      <c r="E48" s="229" t="s">
        <v>361</v>
      </c>
      <c r="F48" s="230"/>
      <c r="G48" s="230"/>
      <c r="H48" s="230"/>
      <c r="I48" s="230"/>
      <c r="J48" s="231"/>
      <c r="K48" s="8"/>
      <c r="L48" s="8"/>
      <c r="M48" s="8"/>
      <c r="N48" s="8"/>
      <c r="O48" s="8"/>
      <c r="P48" s="8"/>
      <c r="Q48" s="8"/>
      <c r="R48" s="8"/>
      <c r="S48" s="8"/>
    </row>
    <row r="49" spans="1:19" ht="37" thickBot="1">
      <c r="B49" s="81" t="str">
        <f>B5</f>
        <v>TABLE 3: &gt; 1 daughter, and sister(s)/brother(s) OR Uncle(s) - NO Parents</v>
      </c>
      <c r="C49" s="8" t="s">
        <v>386</v>
      </c>
      <c r="D49" s="8"/>
      <c r="E49" s="19" t="s">
        <v>381</v>
      </c>
      <c r="F49" s="19" t="s">
        <v>382</v>
      </c>
      <c r="G49" s="19" t="s">
        <v>302</v>
      </c>
      <c r="H49" s="50" t="s">
        <v>371</v>
      </c>
      <c r="I49" s="50" t="s">
        <v>372</v>
      </c>
      <c r="J49" s="19" t="s">
        <v>384</v>
      </c>
    </row>
    <row r="50" spans="1:19" ht="13" thickBot="1">
      <c r="A50" s="28"/>
      <c r="B50" s="46" t="s">
        <v>379</v>
      </c>
      <c r="C50" s="12">
        <v>1</v>
      </c>
      <c r="D50" s="53" t="s">
        <v>351</v>
      </c>
      <c r="E50" s="180">
        <f>IF(AND(C50&gt;0,C53="n",C54="n"),(A1-G52)/(C50+(C51/2))*(C50),IF(AND(C50&gt;0,C53="y"),(A1-G52-H53)/(C50+(C51/2))*(C50),IF(AND(C50&gt;0,C54="y"),(A1-G52-I54)/(C50+(C51/2))*(C50),0)))</f>
        <v>13888.888888888896</v>
      </c>
      <c r="F50" s="166"/>
      <c r="G50" s="166"/>
      <c r="H50" s="172"/>
      <c r="I50" s="172"/>
      <c r="J50" s="166"/>
      <c r="L50" s="66"/>
    </row>
    <row r="51" spans="1:19" ht="13" thickBot="1">
      <c r="A51" s="28"/>
      <c r="B51" s="46" t="s">
        <v>380</v>
      </c>
      <c r="C51" s="12">
        <v>1</v>
      </c>
      <c r="D51" s="54" t="s">
        <v>351</v>
      </c>
      <c r="E51" s="175"/>
      <c r="F51" s="180">
        <f>IF(AND(C51&gt;0,C53="n",C54="n"),(A1-G52)/(C50+(C51/2))*(C51/2),IF(AND(C51&gt;0,C53="y"),(A1-G52-H53)/(C50+(C51/2))*(C51/2),IF(AND(C51&gt;0,C54="y"),(A1-G52-I54)/(C50+(C51/2))*(C51/2),0)))</f>
        <v>6944.444444444448</v>
      </c>
      <c r="G51" s="177"/>
      <c r="H51" s="172"/>
      <c r="I51" s="172"/>
      <c r="J51" s="166"/>
    </row>
    <row r="52" spans="1:19" ht="13" thickBot="1">
      <c r="A52" s="28"/>
      <c r="B52" s="16" t="s">
        <v>299</v>
      </c>
      <c r="C52" s="11">
        <v>3</v>
      </c>
      <c r="D52" s="55" t="s">
        <v>306</v>
      </c>
      <c r="E52" s="185" t="str">
        <f>IF(C52&lt;2,"ERROR - MUST BE &gt;1","")</f>
        <v/>
      </c>
      <c r="F52" s="181"/>
      <c r="G52" s="165">
        <f>IF(OR(C50&gt;0,C51&gt;0),(2/3)*A1,IF(C55="y",(2/3)*A1,A1))</f>
        <v>66666.666666666657</v>
      </c>
      <c r="H52" s="172"/>
      <c r="I52" s="172"/>
      <c r="J52" s="166"/>
    </row>
    <row r="53" spans="1:19" ht="13" thickBot="1">
      <c r="B53" s="17" t="s">
        <v>370</v>
      </c>
      <c r="C53" s="12" t="s">
        <v>331</v>
      </c>
      <c r="D53" s="53" t="s">
        <v>307</v>
      </c>
      <c r="E53" s="169"/>
      <c r="F53" s="169"/>
      <c r="G53" s="169"/>
      <c r="H53" s="178">
        <f>IF(C53="y",(1/8)*A1,0)</f>
        <v>12500</v>
      </c>
      <c r="I53" s="172"/>
      <c r="J53" s="166"/>
    </row>
    <row r="54" spans="1:19" ht="13" thickBot="1">
      <c r="B54" s="17" t="str">
        <f>IF(C53="y","SKIP","Remaining spouse is husband?")</f>
        <v>SKIP</v>
      </c>
      <c r="C54" s="12" t="s">
        <v>352</v>
      </c>
      <c r="D54" s="53" t="s">
        <v>307</v>
      </c>
      <c r="E54" s="169"/>
      <c r="F54" s="169"/>
      <c r="G54" s="169"/>
      <c r="H54" s="169"/>
      <c r="I54" s="165">
        <f>IF(C54="y",(1/4)*A1,0)</f>
        <v>0</v>
      </c>
      <c r="J54" s="177"/>
    </row>
    <row r="55" spans="1:19" ht="37" thickBot="1">
      <c r="A55" s="29"/>
      <c r="B55" s="46" t="s">
        <v>385</v>
      </c>
      <c r="C55" s="30" t="s">
        <v>352</v>
      </c>
      <c r="D55" s="55" t="s">
        <v>307</v>
      </c>
      <c r="E55" s="184"/>
      <c r="F55" s="184"/>
      <c r="G55" s="184"/>
      <c r="H55" s="184"/>
      <c r="I55" s="175"/>
      <c r="J55" s="180">
        <f>IF(C55="n",0,IF(OR(E50&gt;0,F51&gt;0,H53&gt;0,I54&gt;0),0,A1-G52))</f>
        <v>0</v>
      </c>
      <c r="K55" s="29"/>
      <c r="L55" s="29"/>
      <c r="M55" s="29"/>
      <c r="N55" s="29"/>
      <c r="O55" s="29"/>
      <c r="P55" s="29"/>
      <c r="Q55" s="29"/>
      <c r="R55" s="29"/>
      <c r="S55" s="29"/>
    </row>
  </sheetData>
  <sheetProtection password="C4AE" sheet="1" objects="1" scenarios="1"/>
  <mergeCells count="7">
    <mergeCell ref="E48:J48"/>
    <mergeCell ref="I4:P5"/>
    <mergeCell ref="P26:R28"/>
    <mergeCell ref="P29:R33"/>
    <mergeCell ref="R10:S11"/>
    <mergeCell ref="E6:Q6"/>
    <mergeCell ref="E23:O23"/>
  </mergeCells>
  <phoneticPr fontId="5" type="noConversion"/>
  <conditionalFormatting sqref="R10">
    <cfRule type="cellIs" dxfId="2" priority="1" stopIfTrue="1" operator="equal">
      <formula>"ERROR, # MUST EQUAL 1"</formula>
    </cfRule>
  </conditionalFormatting>
  <conditionalFormatting sqref="C50:C51">
    <cfRule type="cellIs" priority="2" stopIfTrue="1" operator="greaterThan">
      <formula>0</formula>
    </cfRule>
  </conditionalFormatting>
  <conditionalFormatting sqref="P29:R33">
    <cfRule type="cellIs" dxfId="1" priority="3" stopIfTrue="1" operator="equal">
      <formula>"Please enter a Y for either spouse, without which the ISNA schedule doesnot provide calculations for output cell(s) with text: FALSE, and therefore this table cannot be used for your unique case if the table contains FALSE values in one or more cells"</formula>
    </cfRule>
  </conditionalFormatting>
  <conditionalFormatting sqref="P26:R28">
    <cfRule type="cellIs" dxfId="0" priority="4" stopIfTrue="1" operator="equal">
      <formula>"Please enter a Y for either spouse, as ISNA Schedule A doesnot provide calculations for your unique case"</formula>
    </cfRule>
  </conditionalFormatting>
  <pageMargins left="0.75" right="0.75" top="1" bottom="1" header="0.5" footer="0.5"/>
  <pageSetup scale="59" orientation="landscape"/>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0"/>
    <pageSetUpPr fitToPage="1"/>
  </sheetPr>
  <dimension ref="A1:M42"/>
  <sheetViews>
    <sheetView showRowColHeaders="0" zoomScale="125" zoomScaleNormal="125" zoomScalePageLayoutView="125" workbookViewId="0">
      <selection activeCell="C43" sqref="C43"/>
    </sheetView>
  </sheetViews>
  <sheetFormatPr baseColWidth="10" defaultColWidth="9.1640625" defaultRowHeight="12" x14ac:dyDescent="0"/>
  <cols>
    <col min="1" max="1" width="1.5" style="1" customWidth="1"/>
    <col min="2" max="2" width="51.83203125" style="1" customWidth="1"/>
    <col min="3" max="3" width="4.83203125" style="1" customWidth="1"/>
    <col min="4" max="4" width="11" style="1" customWidth="1"/>
    <col min="5" max="5" width="9" style="1" customWidth="1"/>
    <col min="6" max="7" width="9.1640625" style="1"/>
    <col min="8" max="8" width="10" style="1" customWidth="1"/>
    <col min="9" max="11" width="9.1640625" style="1"/>
    <col min="12" max="12" width="2" style="1" customWidth="1"/>
    <col min="13" max="16384" width="9.1640625" style="1"/>
  </cols>
  <sheetData>
    <row r="1" spans="1:13" ht="13" thickBot="1">
      <c r="A1" s="13">
        <f>Inputs!G23</f>
        <v>100000</v>
      </c>
    </row>
    <row r="2" spans="1:13" ht="13" thickBot="1">
      <c r="B2" s="14" t="s">
        <v>20</v>
      </c>
      <c r="C2" s="8"/>
      <c r="D2" s="8"/>
      <c r="E2" s="8"/>
      <c r="F2" s="8"/>
      <c r="G2" s="8"/>
      <c r="H2" s="8"/>
      <c r="I2" s="8"/>
      <c r="J2" s="8"/>
    </row>
    <row r="3" spans="1:13" ht="13" thickBot="1">
      <c r="A3" s="8"/>
      <c r="B3" s="254" t="s">
        <v>276</v>
      </c>
      <c r="C3" s="255"/>
      <c r="D3" s="255"/>
      <c r="E3" s="256"/>
      <c r="F3" s="8"/>
      <c r="G3" s="8"/>
      <c r="H3" s="8"/>
      <c r="I3" s="8"/>
      <c r="J3" s="8"/>
    </row>
    <row r="4" spans="1:13" ht="13" thickBot="1">
      <c r="A4" s="8"/>
      <c r="B4" s="257" t="s">
        <v>277</v>
      </c>
      <c r="C4" s="258"/>
      <c r="D4" s="258"/>
      <c r="E4" s="259"/>
      <c r="F4" s="8"/>
      <c r="G4" s="8"/>
      <c r="H4" s="8"/>
      <c r="I4" s="8"/>
      <c r="J4" s="8"/>
    </row>
    <row r="5" spans="1:13" ht="13" thickBot="1">
      <c r="A5" s="8"/>
      <c r="B5" s="260" t="s">
        <v>288</v>
      </c>
      <c r="C5" s="261"/>
      <c r="D5" s="261"/>
      <c r="E5" s="262"/>
      <c r="F5" s="8"/>
      <c r="G5" s="8"/>
      <c r="H5" s="8"/>
      <c r="I5" s="8"/>
      <c r="J5" s="8"/>
      <c r="L5" s="65"/>
    </row>
    <row r="6" spans="1:13" ht="13" thickBot="1">
      <c r="A6" s="8"/>
      <c r="B6" s="263" t="s">
        <v>289</v>
      </c>
      <c r="C6" s="264"/>
      <c r="D6" s="264"/>
      <c r="E6" s="265"/>
      <c r="F6" s="8"/>
      <c r="G6" s="8"/>
      <c r="H6" s="8"/>
      <c r="I6" s="8"/>
      <c r="J6" s="8"/>
      <c r="L6" s="65"/>
    </row>
    <row r="7" spans="1:13" ht="13" thickBot="1">
      <c r="A7" s="8"/>
      <c r="B7" s="9"/>
      <c r="C7" s="9"/>
      <c r="D7" s="9"/>
      <c r="E7" s="9"/>
      <c r="F7" s="8"/>
      <c r="G7" s="8"/>
      <c r="H7" s="8"/>
      <c r="I7" s="8"/>
      <c r="J7" s="8"/>
      <c r="L7" s="65"/>
    </row>
    <row r="8" spans="1:13" ht="13" thickBot="1">
      <c r="A8" s="44"/>
      <c r="B8" s="8"/>
      <c r="C8" s="8"/>
      <c r="D8" s="8"/>
      <c r="E8" s="229" t="s">
        <v>361</v>
      </c>
      <c r="F8" s="230"/>
      <c r="G8" s="230"/>
      <c r="H8" s="230"/>
      <c r="I8" s="230"/>
      <c r="J8" s="231"/>
    </row>
    <row r="9" spans="1:13" ht="47.25" customHeight="1" thickBot="1">
      <c r="B9" s="86" t="str">
        <f>B3</f>
        <v>TABLE 1: Father, or Mother, or both parents with NO or only ONE sibling</v>
      </c>
      <c r="C9" s="8" t="s">
        <v>386</v>
      </c>
      <c r="D9" s="173"/>
      <c r="E9" s="186" t="s">
        <v>335</v>
      </c>
      <c r="F9" s="186" t="s">
        <v>336</v>
      </c>
      <c r="G9" s="186" t="s">
        <v>285</v>
      </c>
      <c r="H9" s="187" t="s">
        <v>356</v>
      </c>
      <c r="I9" s="252" t="s">
        <v>274</v>
      </c>
      <c r="J9" s="252" t="s">
        <v>275</v>
      </c>
    </row>
    <row r="10" spans="1:13" ht="13" thickBot="1">
      <c r="B10" s="4" t="s">
        <v>373</v>
      </c>
      <c r="C10" s="11" t="s">
        <v>331</v>
      </c>
      <c r="D10" s="164" t="s">
        <v>307</v>
      </c>
      <c r="E10" s="165">
        <f>IF(C10="n",0,IF(C10="y",A1-F10-H14))</f>
        <v>58333.333333333343</v>
      </c>
      <c r="F10" s="165">
        <f>IF(C10="n",0,IF(AND(C10="y",C14="h"),(1/6)*A1,IF(AND(C10="y",C14="w"),(1/6)*A1,IF(AND(C10="y",C14=""),(1/3)*A1))))</f>
        <v>16666.666666666664</v>
      </c>
      <c r="G10" s="166"/>
      <c r="H10" s="188"/>
      <c r="I10" s="253"/>
      <c r="J10" s="253"/>
    </row>
    <row r="11" spans="1:13" ht="13" thickBot="1">
      <c r="B11" s="17" t="str">
        <f>IF(C10="y","SKIP","Is father only alive?")</f>
        <v>SKIP</v>
      </c>
      <c r="C11" s="12" t="s">
        <v>352</v>
      </c>
      <c r="D11" s="164" t="s">
        <v>307</v>
      </c>
      <c r="E11" s="190">
        <f>IF(OR(B11="SKIP",C11="n"),0,IF(AND(C11="y",G13&gt;0,H14&gt;0),A1-G13-H14,IF(AND(C11="y",H14&gt;0),A1-H14,IF(AND(C11="y",G13&gt;0),A1-G13,IF(C11="y",A1,IF(C11="n",0))))))</f>
        <v>0</v>
      </c>
      <c r="F11" s="191"/>
      <c r="G11" s="166"/>
      <c r="H11" s="174"/>
      <c r="I11" s="253"/>
      <c r="J11" s="166"/>
    </row>
    <row r="12" spans="1:13" ht="13" thickBot="1">
      <c r="B12" s="17" t="str">
        <f>IF(OR(C10="y",C11="y"),"SKIP","Is mother only alive?")</f>
        <v>SKIP</v>
      </c>
      <c r="C12" s="12" t="s">
        <v>331</v>
      </c>
      <c r="D12" s="168" t="s">
        <v>307</v>
      </c>
      <c r="E12" s="169"/>
      <c r="F12" s="190">
        <f>IF(OR(B12="SKIP",C12="n"),0,IF(AND(C12="y",C14="w",C15="b"),(1/3)*A1,IF(AND(C12="y",C14="w",C15="s"),(4/13)*A1,IF(AND(C12="y",C14="h",C15="s"),(2/8)*A1,IF(C15="b",(1/3)*A1,IF(AND(C12="y",H14&gt;0),A1-H14-J16,IF(C15="s",(2/5)*A1,IF(J16=(1/3)*A1,(2/3)*A1,A1))))))))</f>
        <v>0</v>
      </c>
      <c r="G12" s="177"/>
      <c r="H12" s="174"/>
      <c r="I12" s="179"/>
      <c r="J12" s="166"/>
    </row>
    <row r="13" spans="1:13" ht="13" thickBot="1">
      <c r="B13" s="16" t="str">
        <f>IF(C12="y","SKIP","Is mother of mother alive?")</f>
        <v>SKIP</v>
      </c>
      <c r="C13" s="11" t="s">
        <v>352</v>
      </c>
      <c r="D13" s="170" t="s">
        <v>307</v>
      </c>
      <c r="E13" s="171"/>
      <c r="F13" s="171"/>
      <c r="G13" s="165">
        <f>IF(OR(B13="SKIP",C13="",C13="n"),0,(1/6)*A1)</f>
        <v>0</v>
      </c>
      <c r="H13" s="174"/>
      <c r="I13" s="179"/>
      <c r="J13" s="166"/>
    </row>
    <row r="14" spans="1:13" ht="25" thickBot="1">
      <c r="B14" s="46" t="s">
        <v>17</v>
      </c>
      <c r="C14" s="11" t="s">
        <v>390</v>
      </c>
      <c r="D14" s="228" t="s">
        <v>308</v>
      </c>
      <c r="E14" s="228"/>
      <c r="F14" s="171"/>
      <c r="G14" s="171"/>
      <c r="H14" s="165">
        <f>IF(C14="",0,IF(AND(C12="y",C14="w",C15="s"),(3/13)*A1,IF(AND(C12="y",C14="h",C15="s"),(3/8)*A1,IF(C14="w",(1/4)*A1,IF(C14="h",(1/2)*A1)))))</f>
        <v>25000</v>
      </c>
      <c r="I14" s="172"/>
      <c r="J14" s="166"/>
    </row>
    <row r="15" spans="1:13" ht="25" customHeight="1" thickBot="1">
      <c r="B15" s="46" t="str">
        <f>IF(OR(C10="y",C11="y"),"SKIP","Only one remaning sibling (of same two parents or from father's side), if no sibling leave blank")</f>
        <v>SKIP</v>
      </c>
      <c r="C15" s="11"/>
      <c r="D15" s="246" t="s">
        <v>309</v>
      </c>
      <c r="E15" s="246"/>
      <c r="F15" s="171"/>
      <c r="G15" s="171"/>
      <c r="H15" s="181"/>
      <c r="I15" s="178">
        <f>IF(OR(B15="SKIP",C15=""),0,IF(OR(C14="h",C14="w",AND(C12="y",C15="b")),A1-F12-H14,IF(AND(C12="y",C14="h",C15="s"),(3/8)*A1,IF(AND(C12="y",C14="w",C15="s"),(6/13)*A1,IF(C15="b",A1-F10-F12,IF(C15="s",A1-F10-F12))))))</f>
        <v>0</v>
      </c>
      <c r="J15" s="166"/>
    </row>
    <row r="16" spans="1:13" ht="27" customHeight="1" thickBot="1">
      <c r="B16" s="46" t="str">
        <f>IF(OR(C10="y",C11="y",C15="b",C15="s"),"SKIP","Only one remaning sibling (from mother's side), if no sibling leave blank")</f>
        <v>SKIP</v>
      </c>
      <c r="C16" s="11"/>
      <c r="D16" s="246" t="s">
        <v>309</v>
      </c>
      <c r="E16" s="246"/>
      <c r="F16" s="171"/>
      <c r="G16" s="171"/>
      <c r="H16" s="171"/>
      <c r="I16" s="181"/>
      <c r="J16" s="165">
        <f>IF(OR(B16="SKIP",C16=""),0,IF(C14="w",(1/4)*A1,IF(C14="h",(1/6)*A1,IF(C14="",(1/3)*A1))))</f>
        <v>0</v>
      </c>
      <c r="M16" s="65"/>
    </row>
    <row r="17" spans="1:13" ht="13" thickBot="1">
      <c r="B17" s="82"/>
      <c r="C17" s="83" t="s">
        <v>395</v>
      </c>
      <c r="D17" s="84"/>
      <c r="E17" s="84"/>
      <c r="F17" s="2"/>
      <c r="G17" s="2"/>
      <c r="H17" s="2"/>
      <c r="M17" s="65"/>
    </row>
    <row r="18" spans="1:13" ht="13" thickBot="1">
      <c r="E18" s="240" t="s">
        <v>361</v>
      </c>
      <c r="F18" s="241"/>
      <c r="G18" s="241"/>
      <c r="H18" s="241"/>
      <c r="I18" s="242"/>
    </row>
    <row r="19" spans="1:13" ht="32.25" customHeight="1" thickBot="1">
      <c r="B19" s="87" t="str">
        <f>B4</f>
        <v>TABLE 2: Mother ONLY with AT LEAST two siblings</v>
      </c>
      <c r="C19" s="5" t="s">
        <v>386</v>
      </c>
      <c r="D19" s="179"/>
      <c r="E19" s="192" t="s">
        <v>389</v>
      </c>
      <c r="F19" s="186" t="s">
        <v>388</v>
      </c>
      <c r="G19" s="249" t="s">
        <v>278</v>
      </c>
      <c r="H19" s="186" t="s">
        <v>336</v>
      </c>
      <c r="I19" s="186" t="s">
        <v>356</v>
      </c>
    </row>
    <row r="20" spans="1:13" ht="13" thickBot="1">
      <c r="B20" s="88" t="s">
        <v>286</v>
      </c>
      <c r="C20" s="11">
        <v>2</v>
      </c>
      <c r="D20" s="164" t="s">
        <v>351</v>
      </c>
      <c r="E20" s="180">
        <f>IF(C20=0,0,IF(C20&gt;0,(A1-H23-I24)/(C20+(C21/2))*(C20)))</f>
        <v>66666.666666666672</v>
      </c>
      <c r="F20" s="166"/>
      <c r="G20" s="250"/>
      <c r="H20" s="166"/>
      <c r="I20" s="166"/>
    </row>
    <row r="21" spans="1:13" ht="13" thickBot="1">
      <c r="B21" s="46" t="s">
        <v>287</v>
      </c>
      <c r="C21" s="11">
        <v>1</v>
      </c>
      <c r="D21" s="193" t="s">
        <v>351</v>
      </c>
      <c r="E21" s="175"/>
      <c r="F21" s="194">
        <f>IF(C21=0,0,IF(AND(C20=0,C21&gt;1,C24="w"),(8/13)*A1,IF(AND(C20=0,C21&gt;1,C24="h"),(3/7)*A1,IF(AND(C20=0,C21&gt;1),(4/5)*A1,IF(C21&gt;0,(A1-H23-I24)/(C20+(C21/2))*(C21/2))))))</f>
        <v>16666.666666666668</v>
      </c>
      <c r="G21" s="251"/>
      <c r="H21" s="166"/>
      <c r="I21" s="166"/>
    </row>
    <row r="22" spans="1:13" ht="13" thickBot="1">
      <c r="A22" s="27"/>
      <c r="B22" s="88" t="str">
        <f>IF(OR(C20&gt;0,C21&gt;0),"SKIP","More than one Sibling (brothers and/or sisters) from mother's side")</f>
        <v>SKIP</v>
      </c>
      <c r="C22" s="24">
        <v>0</v>
      </c>
      <c r="D22" s="195" t="s">
        <v>351</v>
      </c>
      <c r="E22" s="196"/>
      <c r="F22" s="171"/>
      <c r="G22" s="165">
        <f>IF(B21="SKIP",0,IF(AND(C22&gt;0,C20=0,C21=0,C24="w"),(1/2)*A1,IF(AND(C22&gt;0,C20=0,C21=0,C24="h"),(1/3)*A1,IF(AND(C22&gt;0,C20=0,C21=0),(2/3)*A1,0))))</f>
        <v>0</v>
      </c>
      <c r="H22" s="166"/>
      <c r="I22" s="166"/>
    </row>
    <row r="23" spans="1:13" ht="13" thickBot="1">
      <c r="B23" s="16" t="s">
        <v>387</v>
      </c>
      <c r="C23" s="162" t="s">
        <v>331</v>
      </c>
      <c r="D23" s="170" t="s">
        <v>307</v>
      </c>
      <c r="E23" s="171"/>
      <c r="F23" s="171"/>
      <c r="G23" s="171"/>
      <c r="H23" s="165">
        <f>IF(AND(C20=0,C21&gt;1,C23="y",C24="w"),(2/13)*A1,IF(AND(C20=0,C21&gt;1,C23="y",C24="h"),(1/7)*A1,IF(AND(C20=0,C21&gt;1,C23="y"),(1/5)*A1,IF(AND(C22&gt;0,C23="y",C24="w"),(1/4)*A1, IF(AND(C22&gt;0,C23="y",C24="h"),(1/6)*A1,IF(C22&gt;0,(1/3)*A1,IF(C23="y",(1/6)*A1,0)))))))</f>
        <v>16666.666666666664</v>
      </c>
      <c r="I23" s="166"/>
    </row>
    <row r="24" spans="1:13" ht="25" thickBot="1">
      <c r="B24" s="46" t="s">
        <v>17</v>
      </c>
      <c r="C24" s="11"/>
      <c r="D24" s="228" t="s">
        <v>308</v>
      </c>
      <c r="E24" s="228"/>
      <c r="F24" s="171"/>
      <c r="G24" s="171"/>
      <c r="H24" s="171"/>
      <c r="I24" s="165">
        <f>IF(C24="",0,IF(AND(C20=0,C21&gt;1,C24="w"),(3/13)*A1,IF(AND(C20=0,C21&gt;1,C24="h"),(3/7)*A1,IF(C24="w",(1/4)*A1,IF(C24="h",(1/2)*A1)))))</f>
        <v>0</v>
      </c>
    </row>
    <row r="25" spans="1:13" ht="13" thickBot="1">
      <c r="B25" s="82"/>
      <c r="C25" s="83"/>
      <c r="D25" s="82"/>
      <c r="E25" s="85"/>
      <c r="F25" s="26"/>
      <c r="G25" s="26"/>
      <c r="H25" s="26"/>
    </row>
    <row r="26" spans="1:13" ht="13" thickBot="1">
      <c r="E26" s="240" t="s">
        <v>361</v>
      </c>
      <c r="F26" s="241"/>
      <c r="G26" s="241"/>
      <c r="H26" s="241"/>
      <c r="I26" s="241"/>
      <c r="J26" s="241"/>
      <c r="K26" s="242"/>
    </row>
    <row r="27" spans="1:13" ht="50.25" customHeight="1" thickBot="1">
      <c r="B27" s="90" t="str">
        <f>B5</f>
        <v>TABLE 3: Mother ONLY OR mother of mother with NO Siblings</v>
      </c>
      <c r="C27" s="5" t="s">
        <v>386</v>
      </c>
      <c r="D27" s="179"/>
      <c r="E27" s="192" t="s">
        <v>336</v>
      </c>
      <c r="F27" s="186" t="s">
        <v>280</v>
      </c>
      <c r="G27" s="186" t="s">
        <v>281</v>
      </c>
      <c r="H27" s="187" t="s">
        <v>282</v>
      </c>
      <c r="I27" s="247" t="s">
        <v>283</v>
      </c>
      <c r="J27" s="186" t="s">
        <v>284</v>
      </c>
      <c r="K27" s="197" t="s">
        <v>356</v>
      </c>
    </row>
    <row r="28" spans="1:13" ht="13" thickBot="1">
      <c r="B28" s="88" t="s">
        <v>326</v>
      </c>
      <c r="C28" s="210" t="s">
        <v>331</v>
      </c>
      <c r="D28" s="164" t="s">
        <v>325</v>
      </c>
      <c r="E28" s="180">
        <f>IF(C28="","ERROR",IF(OR(C28="y",C29="y"),(1/3)*A1,0))</f>
        <v>33333.333333333328</v>
      </c>
      <c r="F28" s="166"/>
      <c r="G28" s="189"/>
      <c r="H28" s="179"/>
      <c r="I28" s="248"/>
      <c r="J28" s="166"/>
      <c r="K28" s="198"/>
    </row>
    <row r="29" spans="1:13" ht="13" thickBot="1">
      <c r="B29" s="46" t="s">
        <v>279</v>
      </c>
      <c r="C29" s="12" t="s">
        <v>352</v>
      </c>
      <c r="D29" s="193" t="s">
        <v>307</v>
      </c>
      <c r="E29" s="175"/>
      <c r="F29" s="180">
        <f>IF(C29="n",0,A1-E28-K34)</f>
        <v>0</v>
      </c>
      <c r="G29" s="177"/>
      <c r="H29" s="179"/>
      <c r="I29" s="248"/>
      <c r="J29" s="166"/>
      <c r="K29" s="166"/>
    </row>
    <row r="30" spans="1:13" ht="25" customHeight="1" thickBot="1">
      <c r="B30" s="18" t="str">
        <f>IF(C29="y","SKIP","Enter # of son(s) from children of brother(s), the brother is of the same two parents")</f>
        <v>Enter # of son(s) from children of brother(s), the brother is of the same two parents</v>
      </c>
      <c r="C30" s="12"/>
      <c r="D30" s="168" t="s">
        <v>351</v>
      </c>
      <c r="E30" s="169"/>
      <c r="F30" s="199"/>
      <c r="G30" s="165">
        <f>IF(OR(B30="SKIP",C30="",C30=0),0,(A1-E28-K34)/(C30+(C31/2))*(C30))</f>
        <v>0</v>
      </c>
      <c r="H30" s="196"/>
      <c r="I30" s="166"/>
      <c r="J30" s="166"/>
      <c r="K30" s="166"/>
    </row>
    <row r="31" spans="1:13" ht="25" customHeight="1" thickBot="1">
      <c r="B31" s="18" t="str">
        <f>IF(C29="y","SKIP","Enter # of daughter(s) from children of brother(s), the brother is of the same two parents")</f>
        <v>Enter # of daughter(s) from children of brother(s), the brother is of the same two parents</v>
      </c>
      <c r="C31" s="12">
        <v>0</v>
      </c>
      <c r="D31" s="168" t="s">
        <v>351</v>
      </c>
      <c r="E31" s="169"/>
      <c r="F31" s="169"/>
      <c r="G31" s="169"/>
      <c r="H31" s="176">
        <f>IF(OR(B31="SKIP",C31="", C31=0),0,(A1-E28-K34)/(C30+(C31/2))*(C31/2))</f>
        <v>0</v>
      </c>
      <c r="I31" s="177"/>
      <c r="J31" s="166"/>
      <c r="K31" s="166"/>
    </row>
    <row r="32" spans="1:13" ht="13" thickBot="1">
      <c r="B32" s="17" t="str">
        <f>IF(OR(C29="y",C30&gt;0,C31&gt;0),"SKIP","Enter # of brother(s) of father, of the same two parents")</f>
        <v>Enter # of brother(s) of father, of the same two parents</v>
      </c>
      <c r="C32" s="12">
        <v>1</v>
      </c>
      <c r="D32" s="168" t="s">
        <v>351</v>
      </c>
      <c r="E32" s="169"/>
      <c r="F32" s="169"/>
      <c r="G32" s="169"/>
      <c r="H32" s="173"/>
      <c r="I32" s="166">
        <f>IF(OR(B32="SKIP",C32="",C32=0),0,(A1-E28-K34)/(C32+(C33/2))*(C32))</f>
        <v>20833.333333333336</v>
      </c>
      <c r="J32" s="177"/>
      <c r="K32" s="166"/>
    </row>
    <row r="33" spans="2:13" ht="13" thickBot="1">
      <c r="B33" s="16" t="str">
        <f>IF(OR(C29="y",C30&gt;0,C31&gt;0),"SKIP","Enter # of sister(s) of father, of the same two parents")</f>
        <v>Enter # of sister(s) of father, of the same two parents</v>
      </c>
      <c r="C33" s="11">
        <v>2</v>
      </c>
      <c r="D33" s="170" t="s">
        <v>351</v>
      </c>
      <c r="E33" s="171"/>
      <c r="F33" s="171"/>
      <c r="G33" s="171"/>
      <c r="H33" s="171"/>
      <c r="I33" s="171"/>
      <c r="J33" s="181">
        <f>IF(OR(B33="SKIP",C33="", C33=0),0,(A1-E28-K34)/(C32+(C33/2))*(C33/2))</f>
        <v>20833.333333333336</v>
      </c>
      <c r="K33" s="166"/>
    </row>
    <row r="34" spans="2:13" ht="25" thickBot="1">
      <c r="B34" s="46" t="s">
        <v>17</v>
      </c>
      <c r="C34" s="11" t="s">
        <v>390</v>
      </c>
      <c r="D34" s="228" t="s">
        <v>308</v>
      </c>
      <c r="E34" s="228"/>
      <c r="F34" s="171"/>
      <c r="G34" s="171"/>
      <c r="H34" s="171"/>
      <c r="I34" s="171"/>
      <c r="J34" s="171"/>
      <c r="K34" s="165">
        <f>IF(C34="",0,IF(C34="w",(1/4)*A1,IF(C34="h",(1/2)*A1)))</f>
        <v>25000</v>
      </c>
    </row>
    <row r="35" spans="2:13" ht="13" thickBot="1">
      <c r="H35" s="26"/>
    </row>
    <row r="36" spans="2:13" ht="13" thickBot="1">
      <c r="E36" s="240" t="s">
        <v>361</v>
      </c>
      <c r="F36" s="241"/>
      <c r="G36" s="241"/>
      <c r="H36" s="241"/>
      <c r="I36" s="242"/>
      <c r="M36" s="65"/>
    </row>
    <row r="37" spans="2:13" ht="41" thickBot="1">
      <c r="B37" s="91" t="str">
        <f>B6</f>
        <v>TABLE 4: Mother with Father of Father with Brother(s) &amp;/or Sister(s)</v>
      </c>
      <c r="C37" s="5" t="s">
        <v>386</v>
      </c>
      <c r="D37" s="5"/>
      <c r="E37" s="49" t="s">
        <v>336</v>
      </c>
      <c r="F37" s="19" t="s">
        <v>280</v>
      </c>
      <c r="G37" s="19" t="s">
        <v>356</v>
      </c>
      <c r="H37" s="19" t="s">
        <v>291</v>
      </c>
      <c r="I37" s="244" t="s">
        <v>292</v>
      </c>
    </row>
    <row r="38" spans="2:13" ht="13" thickBot="1">
      <c r="B38" s="88" t="s">
        <v>387</v>
      </c>
      <c r="C38" s="162" t="s">
        <v>331</v>
      </c>
      <c r="D38" s="89" t="s">
        <v>325</v>
      </c>
      <c r="E38" s="180">
        <f>IF(C38="","ERROR",(1/6)*A1)</f>
        <v>16666.666666666664</v>
      </c>
      <c r="F38" s="166"/>
      <c r="G38" s="166"/>
      <c r="H38" s="189"/>
      <c r="I38" s="245"/>
    </row>
    <row r="39" spans="2:13" ht="13" thickBot="1">
      <c r="B39" s="46" t="s">
        <v>290</v>
      </c>
      <c r="C39" s="162" t="s">
        <v>331</v>
      </c>
      <c r="D39" s="54" t="s">
        <v>325</v>
      </c>
      <c r="E39" s="175"/>
      <c r="F39" s="180">
        <f>IF(C39="","ERROR",IF(AND(C39="y",(A1-E38-G40)/(C41+1+C42/2)&gt;(1/3)*A1),(A1-E38-G40)/(C41+1+C42/2),(1/3)*A1))</f>
        <v>33333.333333333328</v>
      </c>
      <c r="G39" s="212"/>
      <c r="H39" s="177"/>
      <c r="I39" s="166"/>
    </row>
    <row r="40" spans="2:13" ht="32.25" customHeight="1" thickBot="1">
      <c r="B40" s="46" t="s">
        <v>17</v>
      </c>
      <c r="C40" s="11"/>
      <c r="D40" s="228" t="s">
        <v>308</v>
      </c>
      <c r="E40" s="228"/>
      <c r="F40" s="211"/>
      <c r="G40" s="213">
        <f>IF(C40="",0,IF(C40="w",(1/4)*A1,IF(C40="h",(1/2)*A1)))</f>
        <v>0</v>
      </c>
      <c r="H40" s="177"/>
      <c r="I40" s="166"/>
    </row>
    <row r="41" spans="2:13" ht="13" thickBot="1">
      <c r="B41" s="18" t="str">
        <f>IF(OR(C40="w",C40="h"),"SKIP","Enter # of brother(s) of the same two parents or from father's side")</f>
        <v>Enter # of brother(s) of the same two parents or from father's side</v>
      </c>
      <c r="C41" s="12">
        <v>1</v>
      </c>
      <c r="D41" s="53" t="s">
        <v>351</v>
      </c>
      <c r="E41" s="169"/>
      <c r="F41" s="199"/>
      <c r="G41" s="199"/>
      <c r="H41" s="165">
        <f>IF(OR(B41="SKIP",C41="",C41=0),0,IF(F39&gt;(1/3)*A1,((A1-E38)/(C41+1+(C42/2))*(C41)),(A1-E38-F39)/(C41+(C42/2))*(C41)))</f>
        <v>33333.333333333343</v>
      </c>
      <c r="I41" s="177"/>
    </row>
    <row r="42" spans="2:13" ht="13" thickBot="1">
      <c r="B42" s="46" t="str">
        <f>IF(OR(C40="w",C40="h"),"SKIP","Enter # of sister(s) of the same two parents or from father's side")</f>
        <v>Enter # of sister(s) of the same two parents or from father's side</v>
      </c>
      <c r="C42" s="11">
        <v>1</v>
      </c>
      <c r="D42" s="55" t="s">
        <v>351</v>
      </c>
      <c r="E42" s="171"/>
      <c r="F42" s="171"/>
      <c r="G42" s="171"/>
      <c r="H42" s="171"/>
      <c r="I42" s="165">
        <f>IF(OR(B42="SKIP",C42="", C42=0),0,(A1-E38-F39)/(C41+(C42/2))*(C42/2))</f>
        <v>16666.666666666672</v>
      </c>
    </row>
  </sheetData>
  <sheetProtection password="C4AE" sheet="1" objects="1" scenarios="1"/>
  <mergeCells count="19">
    <mergeCell ref="J9:J10"/>
    <mergeCell ref="E18:I18"/>
    <mergeCell ref="B3:E3"/>
    <mergeCell ref="I9:I11"/>
    <mergeCell ref="D14:E14"/>
    <mergeCell ref="D15:E15"/>
    <mergeCell ref="B4:E4"/>
    <mergeCell ref="B5:E5"/>
    <mergeCell ref="B6:E6"/>
    <mergeCell ref="E8:J8"/>
    <mergeCell ref="D40:E40"/>
    <mergeCell ref="E36:I36"/>
    <mergeCell ref="I37:I38"/>
    <mergeCell ref="D16:E16"/>
    <mergeCell ref="I27:I29"/>
    <mergeCell ref="D34:E34"/>
    <mergeCell ref="E26:K26"/>
    <mergeCell ref="G19:G21"/>
    <mergeCell ref="D24:E24"/>
  </mergeCells>
  <phoneticPr fontId="5" type="noConversion"/>
  <pageMargins left="0.75" right="0.75" top="1" bottom="1" header="0.5" footer="0.5"/>
  <pageSetup scale="60"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54"/>
    <pageSetUpPr fitToPage="1"/>
  </sheetPr>
  <dimension ref="A1:P16"/>
  <sheetViews>
    <sheetView showRowColHeaders="0" zoomScale="125" zoomScaleNormal="125" zoomScalePageLayoutView="125" workbookViewId="0">
      <selection activeCell="C11" sqref="C11"/>
    </sheetView>
  </sheetViews>
  <sheetFormatPr baseColWidth="10" defaultColWidth="9.1640625" defaultRowHeight="12" x14ac:dyDescent="0"/>
  <cols>
    <col min="1" max="1" width="1.5" style="1" customWidth="1"/>
    <col min="2" max="2" width="56.5" style="1" customWidth="1"/>
    <col min="3" max="3" width="4.6640625" style="1" customWidth="1"/>
    <col min="4" max="4" width="18.33203125" style="1" customWidth="1"/>
    <col min="5" max="8" width="9.1640625" style="1"/>
    <col min="9" max="9" width="10" style="1" customWidth="1"/>
    <col min="10" max="11" width="9.1640625" style="1"/>
    <col min="12" max="12" width="1.5" style="1" customWidth="1"/>
    <col min="13" max="16384" width="9.1640625" style="1"/>
  </cols>
  <sheetData>
    <row r="1" spans="1:16" ht="13" thickBot="1">
      <c r="A1" s="13">
        <f>Inputs!G23</f>
        <v>100000</v>
      </c>
    </row>
    <row r="2" spans="1:16" ht="13" thickBot="1">
      <c r="B2" s="14" t="s">
        <v>36</v>
      </c>
      <c r="E2" s="229" t="s">
        <v>361</v>
      </c>
      <c r="F2" s="230"/>
      <c r="G2" s="230"/>
      <c r="H2" s="230"/>
      <c r="I2" s="230"/>
      <c r="J2" s="230"/>
      <c r="K2" s="231"/>
    </row>
    <row r="3" spans="1:16" ht="31" thickBot="1">
      <c r="B3" s="8"/>
      <c r="C3" s="8" t="s">
        <v>386</v>
      </c>
      <c r="D3" s="8"/>
      <c r="E3" s="19" t="s">
        <v>356</v>
      </c>
      <c r="F3" s="51" t="s">
        <v>389</v>
      </c>
      <c r="G3" s="19" t="s">
        <v>388</v>
      </c>
      <c r="H3" s="19" t="s">
        <v>296</v>
      </c>
      <c r="I3" s="19" t="s">
        <v>295</v>
      </c>
      <c r="J3" s="19" t="s">
        <v>297</v>
      </c>
      <c r="K3" s="19" t="s">
        <v>298</v>
      </c>
    </row>
    <row r="4" spans="1:16" ht="26.25" customHeight="1" thickBot="1">
      <c r="B4" s="18" t="s">
        <v>355</v>
      </c>
      <c r="C4" s="12" t="s">
        <v>390</v>
      </c>
      <c r="D4" s="48" t="s">
        <v>308</v>
      </c>
      <c r="E4" s="200">
        <f>IF(C4="",0,IF(C4="w",(1/4)*A1,IF(C4="h",(1/2)*A1)))</f>
        <v>25000</v>
      </c>
      <c r="F4" s="174"/>
      <c r="G4" s="166"/>
      <c r="H4" s="166"/>
      <c r="I4" s="166"/>
      <c r="J4" s="166"/>
      <c r="K4" s="166"/>
    </row>
    <row r="5" spans="1:16" ht="13.5" customHeight="1" thickBot="1">
      <c r="B5" s="17" t="s">
        <v>293</v>
      </c>
      <c r="C5" s="12"/>
      <c r="D5" s="20" t="s">
        <v>351</v>
      </c>
      <c r="E5" s="169"/>
      <c r="F5" s="165">
        <f>IF(OR(C5="",C5=0),0,(A1-E4)/(C5+(C6/2))*(C5))</f>
        <v>0</v>
      </c>
      <c r="G5" s="166"/>
      <c r="H5" s="166"/>
      <c r="I5" s="166"/>
      <c r="J5" s="166"/>
      <c r="K5" s="166"/>
      <c r="M5" s="266" t="str">
        <f>IF(SUM(E4:K10)=A1,"","The ISNA Schedule doesnot provide calculations for when you have a sister AND also children of brother(s) AND no living brothers -- MY OPINION IS TO ONLY GIVE TO THE SISTER, AND NOT GIVE TO THE SON OF BROTHER(S). Check with a religious scholar.")</f>
        <v/>
      </c>
      <c r="N5" s="267"/>
      <c r="O5" s="267"/>
      <c r="P5" s="268"/>
    </row>
    <row r="6" spans="1:16" ht="13" thickBot="1">
      <c r="B6" s="18" t="s">
        <v>294</v>
      </c>
      <c r="C6" s="12"/>
      <c r="D6" s="20" t="s">
        <v>351</v>
      </c>
      <c r="E6" s="201"/>
      <c r="F6" s="169"/>
      <c r="G6" s="165">
        <f>IF(OR(C6="",C6=0),0,(A1-E4)/(C5+(C6/2))*(C6/2))</f>
        <v>0</v>
      </c>
      <c r="H6" s="166"/>
      <c r="I6" s="166"/>
      <c r="J6" s="166"/>
      <c r="K6" s="166"/>
      <c r="M6" s="269"/>
      <c r="N6" s="270"/>
      <c r="O6" s="270"/>
      <c r="P6" s="271"/>
    </row>
    <row r="7" spans="1:16" ht="13" thickBot="1">
      <c r="B7" s="17" t="str">
        <f>IF(C5&gt;0,"SKIP","Enter # of Son(s) of brother(s)")</f>
        <v>Enter # of Son(s) of brother(s)</v>
      </c>
      <c r="C7" s="12"/>
      <c r="D7" s="20" t="s">
        <v>351</v>
      </c>
      <c r="E7" s="169"/>
      <c r="F7" s="169"/>
      <c r="G7" s="169"/>
      <c r="H7" s="165">
        <f>IF(OR(B7="SKIP",C7="",C7=0),0,(A1-E4)/(C7+(C8/2))*(C7))</f>
        <v>0</v>
      </c>
      <c r="I7" s="166"/>
      <c r="J7" s="166"/>
      <c r="K7" s="166"/>
      <c r="M7" s="269"/>
      <c r="N7" s="270"/>
      <c r="O7" s="270"/>
      <c r="P7" s="271"/>
    </row>
    <row r="8" spans="1:16" ht="13" thickBot="1">
      <c r="B8" s="17" t="str">
        <f>IF(C5&gt;0,"SKIP","Enter # of Daughter(s) of brother(s)")</f>
        <v>Enter # of Daughter(s) of brother(s)</v>
      </c>
      <c r="C8" s="12"/>
      <c r="D8" s="20" t="s">
        <v>351</v>
      </c>
      <c r="E8" s="169"/>
      <c r="F8" s="169"/>
      <c r="G8" s="169"/>
      <c r="H8" s="169"/>
      <c r="I8" s="165">
        <f>IF(OR(B8="SKIP",C8="",C8=0),0,(A1-E4)/(C7+(C8/2))*(C8/2))</f>
        <v>0</v>
      </c>
      <c r="J8" s="166"/>
      <c r="K8" s="166"/>
      <c r="M8" s="269"/>
      <c r="N8" s="270"/>
      <c r="O8" s="270"/>
      <c r="P8" s="271"/>
    </row>
    <row r="9" spans="1:16" ht="13" thickBot="1">
      <c r="B9" s="17" t="str">
        <f>IF(OR(C5&gt;0,C6&gt;0,C7&gt;0,C8&gt;0),"SKIP","Enter # of Uncle(s) - brother(s) of father")</f>
        <v>Enter # of Uncle(s) - brother(s) of father</v>
      </c>
      <c r="C9" s="12">
        <v>1</v>
      </c>
      <c r="D9" s="20" t="s">
        <v>351</v>
      </c>
      <c r="E9" s="169"/>
      <c r="F9" s="169"/>
      <c r="G9" s="169"/>
      <c r="H9" s="169"/>
      <c r="I9" s="169"/>
      <c r="J9" s="165">
        <f>IF(OR(B9="SKIP",C9="",C9=0),0,(A1-E4)/(C9+(C10/2))*(C9))</f>
        <v>50000</v>
      </c>
      <c r="K9" s="166"/>
      <c r="M9" s="269"/>
      <c r="N9" s="270"/>
      <c r="O9" s="270"/>
      <c r="P9" s="271"/>
    </row>
    <row r="10" spans="1:16" ht="13" thickBot="1">
      <c r="B10" s="16" t="str">
        <f>IF(OR(C5&gt;0,C6&gt;0,C7&gt;0,C8&gt;0),"SKIP","Enter # of Aunt(s) - sister(s) of father")</f>
        <v>Enter # of Aunt(s) - sister(s) of father</v>
      </c>
      <c r="C10" s="11">
        <v>1</v>
      </c>
      <c r="D10" s="7" t="s">
        <v>351</v>
      </c>
      <c r="E10" s="171"/>
      <c r="F10" s="171"/>
      <c r="G10" s="171"/>
      <c r="H10" s="171"/>
      <c r="I10" s="171"/>
      <c r="J10" s="181"/>
      <c r="K10" s="165">
        <f>IF(OR(B10="SKIP",C10="",C10=0),0,(A1-E4)/(C9+(C10/2))*(C10/2))</f>
        <v>25000</v>
      </c>
      <c r="M10" s="269"/>
      <c r="N10" s="270"/>
      <c r="O10" s="270"/>
      <c r="P10" s="271"/>
    </row>
    <row r="11" spans="1:16">
      <c r="M11" s="269"/>
      <c r="N11" s="270"/>
      <c r="O11" s="270"/>
      <c r="P11" s="271"/>
    </row>
    <row r="12" spans="1:16">
      <c r="M12" s="269"/>
      <c r="N12" s="270"/>
      <c r="O12" s="270"/>
      <c r="P12" s="271"/>
    </row>
    <row r="13" spans="1:16">
      <c r="M13" s="269"/>
      <c r="N13" s="270"/>
      <c r="O13" s="270"/>
      <c r="P13" s="271"/>
    </row>
    <row r="14" spans="1:16">
      <c r="M14" s="269"/>
      <c r="N14" s="270"/>
      <c r="O14" s="270"/>
      <c r="P14" s="271"/>
    </row>
    <row r="15" spans="1:16">
      <c r="M15" s="269"/>
      <c r="N15" s="270"/>
      <c r="O15" s="270"/>
      <c r="P15" s="271"/>
    </row>
    <row r="16" spans="1:16">
      <c r="M16" s="272"/>
      <c r="N16" s="273"/>
      <c r="O16" s="273"/>
      <c r="P16" s="274"/>
    </row>
  </sheetData>
  <sheetProtection password="C4AE" sheet="1" objects="1" scenarios="1"/>
  <mergeCells count="2">
    <mergeCell ref="E2:K2"/>
    <mergeCell ref="M5:P16"/>
  </mergeCells>
  <phoneticPr fontId="5" type="noConversion"/>
  <pageMargins left="0.75" right="0.75" top="1" bottom="1" header="0.5" footer="0.5"/>
  <pageSetup scale="94"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Instructions</vt:lpstr>
      <vt:lpstr>Inputs</vt:lpstr>
      <vt:lpstr>Case Selection</vt:lpstr>
      <vt:lpstr>Case 1 OR 3a</vt:lpstr>
      <vt:lpstr>Case 2a OR 3b</vt:lpstr>
      <vt:lpstr>Case 2b OR 3c</vt:lpstr>
      <vt:lpstr>Case 4</vt:lpstr>
      <vt:lpstr>Case 5</vt:lpstr>
      <vt:lpstr>ISNA-Schedule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Inheritance Calculator</dc:title>
  <dc:creator/>
  <cp:lastModifiedBy>Murad Fatehali</cp:lastModifiedBy>
  <cp:lastPrinted>2005-11-17T16:43:05Z</cp:lastPrinted>
  <dcterms:created xsi:type="dcterms:W3CDTF">2005-06-20T16:49:37Z</dcterms:created>
  <dcterms:modified xsi:type="dcterms:W3CDTF">2016-03-26T20:16:34Z</dcterms:modified>
</cp:coreProperties>
</file>